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ps" sheetId="1" state="visible" r:id="rId1"/>
    <sheet xmlns:r="http://schemas.openxmlformats.org/officeDocument/2006/relationships" name="Wagens" sheetId="2" state="visible" r:id="rId2"/>
    <sheet xmlns:r="http://schemas.openxmlformats.org/officeDocument/2006/relationships" name="Dagoverzicht" sheetId="3" state="visible" r:id="rId3"/>
    <sheet xmlns:r="http://schemas.openxmlformats.org/officeDocument/2006/relationships" name="Uitleg" sheetId="4" state="visible" r:id="rId4"/>
  </sheets>
  <definedNames>
    <definedName name="_xlnm._FilterDatabase" localSheetId="0" hidden="1">'Stops'!$A$1:$K$1001</definedName>
    <definedName name="_xlnm.Print_Titles" localSheetId="0">'Stops'!$1:$1</definedName>
    <definedName name="_xlnm.Print_Titles" localSheetId="1">'Wagens'!$1:$1</definedName>
    <definedName name="_xlnm.Print_Titles" localSheetId="2">'Dagoverzicht'!$1:$1</definedName>
    <definedName name="_xlnm.Print_Area" localSheetId="2">'Dagoverzicht'!$A$1:$G$46</definedName>
  </definedNames>
  <calcPr calcId="124519" fullCalcOnLoad="1"/>
</workbook>
</file>

<file path=xl/styles.xml><?xml version="1.0" encoding="utf-8"?>
<styleSheet xmlns="http://schemas.openxmlformats.org/spreadsheetml/2006/main">
  <numFmts count="3">
    <numFmt numFmtId="164" formatCode="hh:mm"/>
    <numFmt numFmtId="165" formatCode="0.##"/>
    <numFmt numFmtId="166" formatCode="0.0"/>
  </numFmts>
  <fonts count="9">
    <font>
      <name val="Calibri"/>
      <family val="2"/>
      <color theme="1"/>
      <sz val="11"/>
      <scheme val="minor"/>
    </font>
    <font>
      <name val="Calibri"/>
      <b val="1"/>
      <color rgb="00FFFFFF"/>
      <sz val="11"/>
    </font>
    <font>
      <name val="Calibri"/>
      <i val="1"/>
      <color rgb="006B7280"/>
      <sz val="11"/>
    </font>
    <font>
      <b val="1"/>
      <color rgb="0000233F"/>
      <sz val="14"/>
    </font>
    <font>
      <i val="1"/>
      <color rgb="006B7280"/>
    </font>
    <font>
      <b val="1"/>
      <color rgb="0000233F"/>
    </font>
    <font>
      <b val="1"/>
      <color rgb="0000233F"/>
      <sz val="16"/>
    </font>
    <font>
      <b val="1"/>
      <color rgb="00278490"/>
      <sz val="12"/>
    </font>
    <font>
      <color rgb="000563C1"/>
      <u val="single"/>
    </font>
  </fonts>
  <fills count="5">
    <fill>
      <patternFill/>
    </fill>
    <fill>
      <patternFill patternType="gray125"/>
    </fill>
    <fill>
      <patternFill patternType="solid">
        <fgColor rgb="00278490"/>
      </patternFill>
    </fill>
    <fill>
      <patternFill patternType="solid">
        <fgColor rgb="00EEF6F7"/>
      </patternFill>
    </fill>
    <fill>
      <patternFill patternType="solid">
        <fgColor rgb="00FFF7D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5">
    <xf numFmtId="0" fontId="0" fillId="0" borderId="0" pivotButton="0" quotePrefix="0" xfId="0"/>
    <xf numFmtId="0" fontId="1" fillId="2" borderId="1" applyAlignment="1" pivotButton="0" quotePrefix="0" xfId="0">
      <alignment vertical="center" wrapText="1"/>
    </xf>
    <xf numFmtId="0" fontId="2" fillId="0" borderId="0" pivotButton="0" quotePrefix="0" xfId="0"/>
    <xf numFmtId="49" fontId="2" fillId="0" borderId="0" pivotButton="0" quotePrefix="0" xfId="0"/>
    <xf numFmtId="164" fontId="2" fillId="0" borderId="0" pivotButton="0" quotePrefix="0" xfId="0"/>
    <xf numFmtId="49" fontId="0" fillId="0" borderId="0" pivotButton="0" quotePrefix="0" xfId="0"/>
    <xf numFmtId="164" fontId="0" fillId="0" borderId="0" pivotButton="0" quotePrefix="0" xfId="0"/>
    <xf numFmtId="2" fontId="2" fillId="0" borderId="0" pivotButton="0" quotePrefix="0" xfId="0"/>
    <xf numFmtId="2" fontId="0" fillId="0" borderId="0" pivotButton="0" quotePrefix="0" xfId="0"/>
    <xf numFmtId="0" fontId="3" fillId="0" borderId="0" pivotButton="0" quotePrefix="0" xfId="0"/>
    <xf numFmtId="0" fontId="4" fillId="0" borderId="0" pivotButton="0" quotePrefix="0" xfId="0"/>
    <xf numFmtId="0" fontId="0" fillId="3" borderId="1" pivotButton="0" quotePrefix="0" xfId="0"/>
    <xf numFmtId="0" fontId="0" fillId="4" borderId="1" applyAlignment="1" pivotButton="0" quotePrefix="0" xfId="0">
      <alignment horizontal="left"/>
    </xf>
    <xf numFmtId="1" fontId="0" fillId="0" borderId="1" applyAlignment="1" pivotButton="0" quotePrefix="0" xfId="0">
      <alignment horizontal="left"/>
    </xf>
    <xf numFmtId="165" fontId="0" fillId="0" borderId="1" applyAlignment="1" pivotButton="0" quotePrefix="0" xfId="0">
      <alignment horizontal="left"/>
    </xf>
    <xf numFmtId="9" fontId="0" fillId="0" borderId="1" applyAlignment="1" pivotButton="0" quotePrefix="0" xfId="0">
      <alignment horizontal="left"/>
    </xf>
    <xf numFmtId="0" fontId="0" fillId="0" borderId="1" applyAlignment="1" pivotButton="0" quotePrefix="0" xfId="0">
      <alignment horizontal="left"/>
    </xf>
    <xf numFmtId="166" fontId="0" fillId="0" borderId="1" applyAlignment="1" pivotButton="0" quotePrefix="0" xfId="0">
      <alignment horizontal="left"/>
    </xf>
    <xf numFmtId="0" fontId="5" fillId="0" borderId="0" pivotButton="0" quotePrefix="0" xfId="0"/>
    <xf numFmtId="0" fontId="1" fillId="2" borderId="1" pivotButton="0" quotePrefix="0" xfId="0"/>
    <xf numFmtId="166" fontId="0" fillId="0" borderId="0" pivotButton="0" quotePrefix="0" xfId="0"/>
    <xf numFmtId="0" fontId="6" fillId="0" borderId="0" applyAlignment="1" pivotButton="0" quotePrefix="0" xfId="0">
      <alignment vertical="top" wrapText="1"/>
    </xf>
    <xf numFmtId="0" fontId="0"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2">
    <dxf>
      <fill>
        <patternFill patternType="solid">
          <fgColor rgb="00FECACA"/>
          <bgColor rgb="00FECACA"/>
        </patternFill>
      </fill>
    </dxf>
    <dxf>
      <fill>
        <patternFill patternType="solid">
          <fgColor rgb="00FDE68A"/>
          <bgColor rgb="00FDE6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DataFirst Logistics</author>
  </authors>
  <commentList>
    <comment ref="E1" authorId="0" shapeId="0">
      <text>
        <t>Vanaf hoe laat de klant de levering aanneemt, bijvoorbeeld 07:00. Leeg laten mag: dan is er geen venster.</t>
      </text>
    </comment>
    <comment ref="F1" authorId="0" shapeId="0">
      <text>
        <t>Tot hoe laat de klant de levering aanneemt, bijvoorbeeld 10:00.</t>
      </text>
    </comment>
    <comment ref="G1" authorId="0" shapeId="0">
      <text>
        <t>Kies één eenheid voor het hele bestand (pallets of rolcontainers) en gebruik dezelfde eenheid bij de capaciteit op het blad Wagens. De eenheid kies je op het blad Dagoverzicht.</t>
      </text>
    </comment>
    <comment ref="H1" authorId="0" shapeId="0">
      <text>
        <t>Hoe lang de wagen op dit adres staat: parkeren, lossen, tekenen en weer weg.</t>
      </text>
    </comment>
    <comment ref="J1" authorId="0" shapeId="0">
      <text>
        <t>Mag leeg blijven. Vul hier in welke wagen de stop rijdt (kies uit het blad Wagens). Dan telt het Dagoverzicht per wagen op.</t>
      </text>
    </comment>
    <comment ref="K1" authorId="0" shapeId="0">
      <text>
        <t>Mag leeg blijven. De hoeveelste stop van de wagen dit is: 1, 2, 3.</t>
      </text>
    </comment>
  </commentList>
</comments>
</file>

<file path=xl/comments/comment2.xml><?xml version="1.0" encoding="utf-8"?>
<comments xmlns="http://schemas.openxmlformats.org/spreadsheetml/2006/main">
  <authors>
    <author>DataFirst Logistics</author>
  </authors>
  <commentList>
    <comment ref="C1" authorId="0" shapeId="0">
      <text>
        <t>Hoeveel pallets of rolcontainers er in de wagen passen. Gebruik dezelfde eenheid als op het blad Stops.</t>
      </text>
    </comment>
    <comment ref="F1" authorId="0" shapeId="0">
      <text>
        <t>Mag leeg blijven. Brandstof, onderhoud en heffing per kilometer. Uitrekenen kan op https://www.datafirstlogistics.com/kosten-per-kilometer</t>
      </text>
    </comment>
    <comment ref="G1" authorId="0" shapeId="0">
      <text>
        <t>Mag leeg blijven. Wat een uur van de chauffeur met deze wagen kost.</t>
      </text>
    </comment>
    <comment ref="H1" authorId="0" shapeId="0">
      <text>
        <t>Waar de wagen laadt en vertrekt: straat, nummer, postcode en plaats. Nodig om de dag door te rekenen.</t>
      </text>
    </comment>
  </commentList>
</comments>
</file>

<file path=xl/comments/comment3.xml><?xml version="1.0" encoding="utf-8"?>
<comments xmlns="http://schemas.openxmlformats.org/spreadsheetml/2006/main">
  <authors>
    <author>DataFirst Logistics</author>
  </authors>
  <commentList>
    <comment ref="B3" authorId="0" shapeId="0">
      <text>
        <t>Kies hier de eenheid waarin je telt: pallets of rolcontainers.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hyperlink" Target="https://www.datafirstlogistics.com/quickscan?bron=ritplanning-excel&amp;utm_source=excel-sjabloon&amp;utm_medium=export" TargetMode="External" Id="rId1"/><Relationship Type="http://schemas.openxmlformats.org/officeDocument/2006/relationships/hyperlink" Target="https://www.datafirstlogistics.com/rittenplanning?utm_source=excel-sjabloon&amp;utm_medium=export" TargetMode="External" Id="rId2"/><Relationship Type="http://schemas.openxmlformats.org/officeDocument/2006/relationships/hyperlink" Target="https://www.datafirstlogistics.com/kosten-per-kilometer?utm_source=excel-sjabloon&amp;utm_medium=export" TargetMode="External" Id="rId3"/><Relationship Type="http://schemas.openxmlformats.org/officeDocument/2006/relationships/hyperlink" Target="https://www.datafirstlogistics.com/ritplanning-excel?utm_source=excel-sjabloon&amp;utm_medium=export" TargetMode="External" Id="rId4"/></Relationships>
</file>

<file path=xl/worksheets/sheet1.xml><?xml version="1.0" encoding="utf-8"?>
<worksheet xmlns="http://schemas.openxmlformats.org/spreadsheetml/2006/main">
  <sheetPr>
    <outlinePr summaryBelow="1" summaryRight="1"/>
    <pageSetUpPr fitToPage="1"/>
  </sheetPr>
  <dimension ref="A1:K1001"/>
  <sheetViews>
    <sheetView workbookViewId="0">
      <pane ySplit="1" topLeftCell="A2" activePane="bottomLeft" state="frozen"/>
      <selection pane="bottomLeft" activeCell="A1" sqref="A1"/>
    </sheetView>
  </sheetViews>
  <sheetFormatPr baseColWidth="8" defaultRowHeight="15"/>
  <cols>
    <col width="40" customWidth="1" min="1" max="1"/>
    <col width="26" customWidth="1" min="2" max="2"/>
    <col width="11" customWidth="1" min="3" max="3"/>
    <col width="20" customWidth="1" min="4" max="4"/>
    <col width="12" customWidth="1" min="5" max="5"/>
    <col width="12" customWidth="1" min="6" max="6"/>
    <col width="16" customWidth="1" min="7" max="7"/>
    <col width="12" customWidth="1" min="8" max="8"/>
    <col width="40" customWidth="1" min="9" max="9"/>
    <col width="14" customWidth="1" min="10" max="10"/>
    <col width="10" customWidth="1" min="11" max="11"/>
  </cols>
  <sheetData>
    <row r="1" ht="32" customHeight="1">
      <c r="A1" s="1" t="inlineStr">
        <is>
          <t>Klant</t>
        </is>
      </c>
      <c r="B1" s="1" t="inlineStr">
        <is>
          <t>Straat en nummer</t>
        </is>
      </c>
      <c r="C1" s="1" t="inlineStr">
        <is>
          <t>Postcode</t>
        </is>
      </c>
      <c r="D1" s="1" t="inlineStr">
        <is>
          <t>Plaats</t>
        </is>
      </c>
      <c r="E1" s="1" t="inlineStr">
        <is>
          <t>Venster van</t>
        </is>
      </c>
      <c r="F1" s="1" t="inlineStr">
        <is>
          <t>Venster tot</t>
        </is>
      </c>
      <c r="G1" s="1" t="inlineStr">
        <is>
          <t>Aantal (pallets of rolcontainers)</t>
        </is>
      </c>
      <c r="H1" s="1" t="inlineStr">
        <is>
          <t>Lostijd (minuten)</t>
        </is>
      </c>
      <c r="I1" s="1" t="inlineStr">
        <is>
          <t>Opmerking</t>
        </is>
      </c>
      <c r="J1" s="1" t="inlineStr">
        <is>
          <t>Wagen</t>
        </is>
      </c>
      <c r="K1" s="1" t="inlineStr">
        <is>
          <t>Volgorde</t>
        </is>
      </c>
    </row>
    <row r="2">
      <c r="A2" s="2" t="inlineStr">
        <is>
          <t>Voorbeeld: Bakkerij De Korenschoof</t>
        </is>
      </c>
      <c r="B2" s="2" t="inlineStr">
        <is>
          <t>Voorbeeldstraat 12</t>
        </is>
      </c>
      <c r="C2" s="3" t="inlineStr">
        <is>
          <t>0001 AA</t>
        </is>
      </c>
      <c r="D2" s="2" t="inlineStr">
        <is>
          <t>Voorbeeldstad</t>
        </is>
      </c>
      <c r="E2" s="4" t="n">
        <v>0.25</v>
      </c>
      <c r="F2" s="4" t="n">
        <v>0.3125</v>
      </c>
      <c r="G2" s="2" t="n">
        <v>2</v>
      </c>
      <c r="H2" s="2" t="n">
        <v>10</v>
      </c>
      <c r="I2" s="2" t="inlineStr">
        <is>
          <t>Achterom lossen, bel bij de zijdeur</t>
        </is>
      </c>
      <c r="J2" s="2" t="inlineStr">
        <is>
          <t>Wagen 1</t>
        </is>
      </c>
      <c r="K2" s="2" t="n">
        <v>1</v>
      </c>
    </row>
    <row r="3">
      <c r="A3" s="2" t="inlineStr">
        <is>
          <t>Voorbeeld: Supermarkt Het Plein</t>
        </is>
      </c>
      <c r="B3" s="2" t="inlineStr">
        <is>
          <t>Proefplein 3</t>
        </is>
      </c>
      <c r="C3" s="3" t="inlineStr">
        <is>
          <t>0001 AB</t>
        </is>
      </c>
      <c r="D3" s="2" t="inlineStr">
        <is>
          <t>Voorbeeldstad</t>
        </is>
      </c>
      <c r="E3" s="4" t="n">
        <v>0.2916666666666667</v>
      </c>
      <c r="F3" s="4" t="n">
        <v>0.3229166666666667</v>
      </c>
      <c r="G3" s="2" t="n">
        <v>8</v>
      </c>
      <c r="H3" s="2" t="n">
        <v>25</v>
      </c>
      <c r="I3" s="2" t="inlineStr">
        <is>
          <t>Venster korter dan een uur: kleurt geel</t>
        </is>
      </c>
      <c r="J3" s="2" t="inlineStr">
        <is>
          <t>Wagen 1</t>
        </is>
      </c>
      <c r="K3" s="2" t="n">
        <v>2</v>
      </c>
    </row>
    <row r="4">
      <c r="A4" s="2" t="inlineStr">
        <is>
          <t>Voorbeeld: Restaurant De Gouden Lepel</t>
        </is>
      </c>
      <c r="B4" s="2" t="inlineStr">
        <is>
          <t>Verzonnenkade 45</t>
        </is>
      </c>
      <c r="C4" s="3" t="inlineStr">
        <is>
          <t>0002 BC</t>
        </is>
      </c>
      <c r="D4" s="2" t="inlineStr">
        <is>
          <t>Proefdorp</t>
        </is>
      </c>
      <c r="E4" s="4" t="n">
        <v>0.375</v>
      </c>
      <c r="F4" s="4" t="n">
        <v>0.4583333333333333</v>
      </c>
      <c r="G4" s="2" t="n">
        <v>1</v>
      </c>
      <c r="H4" s="2" t="n">
        <v>10</v>
      </c>
      <c r="I4" s="2" t="inlineStr">
        <is>
          <t>Smalle straat, alleen met de bus</t>
        </is>
      </c>
      <c r="J4" s="2" t="inlineStr">
        <is>
          <t>Bus 1</t>
        </is>
      </c>
      <c r="K4" s="2" t="n">
        <v>1</v>
      </c>
    </row>
    <row r="5">
      <c r="A5" s="2" t="inlineStr">
        <is>
          <t>Voorbeeld: Bouwmarkt Hamer en Zaag</t>
        </is>
      </c>
      <c r="B5" s="2" t="inlineStr">
        <is>
          <t>Testweg 101</t>
        </is>
      </c>
      <c r="C5" s="3" t="inlineStr">
        <is>
          <t>0003 CD</t>
        </is>
      </c>
      <c r="D5" s="2" t="inlineStr">
        <is>
          <t>Testerveen</t>
        </is>
      </c>
      <c r="E5" s="4" t="n">
        <v>0.3333333333333333</v>
      </c>
      <c r="F5" s="4" t="n">
        <v>0.6666666666666666</v>
      </c>
      <c r="G5" s="2" t="n">
        <v>6</v>
      </c>
      <c r="H5" s="2" t="n">
        <v>20</v>
      </c>
      <c r="I5" s="2" t="n"/>
      <c r="J5" s="2" t="inlineStr">
        <is>
          <t>Wagen 1</t>
        </is>
      </c>
      <c r="K5" s="2" t="n">
        <v>3</v>
      </c>
    </row>
    <row r="6">
      <c r="A6" s="2" t="inlineStr">
        <is>
          <t>Voorbeeld: Zorgcentrum De Linde</t>
        </is>
      </c>
      <c r="B6" s="2" t="inlineStr">
        <is>
          <t>Fantasielaan 8</t>
        </is>
      </c>
      <c r="C6" s="3" t="inlineStr">
        <is>
          <t>0004 DE</t>
        </is>
      </c>
      <c r="D6" s="2" t="inlineStr">
        <is>
          <t>Proefdorp</t>
        </is>
      </c>
      <c r="E6" s="4" t="n"/>
      <c r="F6" s="4" t="n"/>
      <c r="G6" s="2" t="n">
        <v>3</v>
      </c>
      <c r="H6" s="2" t="n">
        <v>15</v>
      </c>
      <c r="I6" s="2" t="inlineStr">
        <is>
          <t>Geen venster: melden bij de receptie</t>
        </is>
      </c>
      <c r="J6" s="2" t="n"/>
      <c r="K6" s="2" t="n"/>
    </row>
    <row r="7">
      <c r="C7" s="5" t="n"/>
      <c r="E7" s="6" t="n"/>
      <c r="F7" s="6" t="n"/>
    </row>
    <row r="8">
      <c r="C8" s="5" t="n"/>
      <c r="E8" s="6" t="n"/>
      <c r="F8" s="6" t="n"/>
    </row>
    <row r="9">
      <c r="C9" s="5" t="n"/>
      <c r="E9" s="6" t="n"/>
      <c r="F9" s="6" t="n"/>
    </row>
    <row r="10">
      <c r="C10" s="5" t="n"/>
      <c r="E10" s="6" t="n"/>
      <c r="F10" s="6" t="n"/>
    </row>
    <row r="11">
      <c r="C11" s="5" t="n"/>
      <c r="E11" s="6" t="n"/>
      <c r="F11" s="6" t="n"/>
    </row>
    <row r="12">
      <c r="C12" s="5" t="n"/>
      <c r="E12" s="6" t="n"/>
      <c r="F12" s="6" t="n"/>
    </row>
    <row r="13">
      <c r="C13" s="5" t="n"/>
      <c r="E13" s="6" t="n"/>
      <c r="F13" s="6" t="n"/>
    </row>
    <row r="14">
      <c r="C14" s="5" t="n"/>
      <c r="E14" s="6" t="n"/>
      <c r="F14" s="6" t="n"/>
    </row>
    <row r="15">
      <c r="C15" s="5" t="n"/>
      <c r="E15" s="6" t="n"/>
      <c r="F15" s="6" t="n"/>
    </row>
    <row r="16">
      <c r="C16" s="5" t="n"/>
      <c r="E16" s="6" t="n"/>
      <c r="F16" s="6" t="n"/>
    </row>
    <row r="17">
      <c r="C17" s="5" t="n"/>
      <c r="E17" s="6" t="n"/>
      <c r="F17" s="6" t="n"/>
    </row>
    <row r="18">
      <c r="C18" s="5" t="n"/>
      <c r="E18" s="6" t="n"/>
      <c r="F18" s="6" t="n"/>
    </row>
    <row r="19">
      <c r="C19" s="5" t="n"/>
      <c r="E19" s="6" t="n"/>
      <c r="F19" s="6" t="n"/>
    </row>
    <row r="20">
      <c r="C20" s="5" t="n"/>
      <c r="E20" s="6" t="n"/>
      <c r="F20" s="6" t="n"/>
    </row>
    <row r="21">
      <c r="C21" s="5" t="n"/>
      <c r="E21" s="6" t="n"/>
      <c r="F21" s="6" t="n"/>
    </row>
    <row r="22">
      <c r="C22" s="5" t="n"/>
      <c r="E22" s="6" t="n"/>
      <c r="F22" s="6" t="n"/>
    </row>
    <row r="23">
      <c r="C23" s="5" t="n"/>
      <c r="E23" s="6" t="n"/>
      <c r="F23" s="6" t="n"/>
    </row>
    <row r="24">
      <c r="C24" s="5" t="n"/>
      <c r="E24" s="6" t="n"/>
      <c r="F24" s="6" t="n"/>
    </row>
    <row r="25">
      <c r="C25" s="5" t="n"/>
      <c r="E25" s="6" t="n"/>
      <c r="F25" s="6" t="n"/>
    </row>
    <row r="26">
      <c r="C26" s="5" t="n"/>
      <c r="E26" s="6" t="n"/>
      <c r="F26" s="6" t="n"/>
    </row>
    <row r="27">
      <c r="C27" s="5" t="n"/>
      <c r="E27" s="6" t="n"/>
      <c r="F27" s="6" t="n"/>
    </row>
    <row r="28">
      <c r="C28" s="5" t="n"/>
      <c r="E28" s="6" t="n"/>
      <c r="F28" s="6" t="n"/>
    </row>
    <row r="29">
      <c r="C29" s="5" t="n"/>
      <c r="E29" s="6" t="n"/>
      <c r="F29" s="6" t="n"/>
    </row>
    <row r="30">
      <c r="C30" s="5" t="n"/>
      <c r="E30" s="6" t="n"/>
      <c r="F30" s="6" t="n"/>
    </row>
    <row r="31">
      <c r="C31" s="5" t="n"/>
      <c r="E31" s="6" t="n"/>
      <c r="F31" s="6" t="n"/>
    </row>
    <row r="32">
      <c r="C32" s="5" t="n"/>
      <c r="E32" s="6" t="n"/>
      <c r="F32" s="6" t="n"/>
    </row>
    <row r="33">
      <c r="C33" s="5" t="n"/>
      <c r="E33" s="6" t="n"/>
      <c r="F33" s="6" t="n"/>
    </row>
    <row r="34">
      <c r="C34" s="5" t="n"/>
      <c r="E34" s="6" t="n"/>
      <c r="F34" s="6" t="n"/>
    </row>
    <row r="35">
      <c r="C35" s="5" t="n"/>
      <c r="E35" s="6" t="n"/>
      <c r="F35" s="6" t="n"/>
    </row>
    <row r="36">
      <c r="C36" s="5" t="n"/>
      <c r="E36" s="6" t="n"/>
      <c r="F36" s="6" t="n"/>
    </row>
    <row r="37">
      <c r="C37" s="5" t="n"/>
      <c r="E37" s="6" t="n"/>
      <c r="F37" s="6" t="n"/>
    </row>
    <row r="38">
      <c r="C38" s="5" t="n"/>
      <c r="E38" s="6" t="n"/>
      <c r="F38" s="6" t="n"/>
    </row>
    <row r="39">
      <c r="C39" s="5" t="n"/>
      <c r="E39" s="6" t="n"/>
      <c r="F39" s="6" t="n"/>
    </row>
    <row r="40">
      <c r="C40" s="5" t="n"/>
      <c r="E40" s="6" t="n"/>
      <c r="F40" s="6" t="n"/>
    </row>
    <row r="41">
      <c r="C41" s="5" t="n"/>
      <c r="E41" s="6" t="n"/>
      <c r="F41" s="6" t="n"/>
    </row>
    <row r="42">
      <c r="C42" s="5" t="n"/>
      <c r="E42" s="6" t="n"/>
      <c r="F42" s="6" t="n"/>
    </row>
    <row r="43">
      <c r="C43" s="5" t="n"/>
      <c r="E43" s="6" t="n"/>
      <c r="F43" s="6" t="n"/>
    </row>
    <row r="44">
      <c r="C44" s="5" t="n"/>
      <c r="E44" s="6" t="n"/>
      <c r="F44" s="6" t="n"/>
    </row>
    <row r="45">
      <c r="C45" s="5" t="n"/>
      <c r="E45" s="6" t="n"/>
      <c r="F45" s="6" t="n"/>
    </row>
    <row r="46">
      <c r="C46" s="5" t="n"/>
      <c r="E46" s="6" t="n"/>
      <c r="F46" s="6" t="n"/>
    </row>
    <row r="47">
      <c r="C47" s="5" t="n"/>
      <c r="E47" s="6" t="n"/>
      <c r="F47" s="6" t="n"/>
    </row>
    <row r="48">
      <c r="C48" s="5" t="n"/>
      <c r="E48" s="6" t="n"/>
      <c r="F48" s="6" t="n"/>
    </row>
    <row r="49">
      <c r="C49" s="5" t="n"/>
      <c r="E49" s="6" t="n"/>
      <c r="F49" s="6" t="n"/>
    </row>
    <row r="50">
      <c r="C50" s="5" t="n"/>
      <c r="E50" s="6" t="n"/>
      <c r="F50" s="6" t="n"/>
    </row>
    <row r="51">
      <c r="C51" s="5" t="n"/>
      <c r="E51" s="6" t="n"/>
      <c r="F51" s="6" t="n"/>
    </row>
    <row r="52">
      <c r="C52" s="5" t="n"/>
      <c r="E52" s="6" t="n"/>
      <c r="F52" s="6" t="n"/>
    </row>
    <row r="53">
      <c r="C53" s="5" t="n"/>
      <c r="E53" s="6" t="n"/>
      <c r="F53" s="6" t="n"/>
    </row>
    <row r="54">
      <c r="C54" s="5" t="n"/>
      <c r="E54" s="6" t="n"/>
      <c r="F54" s="6" t="n"/>
    </row>
    <row r="55">
      <c r="C55" s="5" t="n"/>
      <c r="E55" s="6" t="n"/>
      <c r="F55" s="6" t="n"/>
    </row>
    <row r="56">
      <c r="C56" s="5" t="n"/>
      <c r="E56" s="6" t="n"/>
      <c r="F56" s="6" t="n"/>
    </row>
    <row r="57">
      <c r="C57" s="5" t="n"/>
      <c r="E57" s="6" t="n"/>
      <c r="F57" s="6" t="n"/>
    </row>
    <row r="58">
      <c r="C58" s="5" t="n"/>
      <c r="E58" s="6" t="n"/>
      <c r="F58" s="6" t="n"/>
    </row>
    <row r="59">
      <c r="C59" s="5" t="n"/>
      <c r="E59" s="6" t="n"/>
      <c r="F59" s="6" t="n"/>
    </row>
    <row r="60">
      <c r="C60" s="5" t="n"/>
      <c r="E60" s="6" t="n"/>
      <c r="F60" s="6" t="n"/>
    </row>
    <row r="61">
      <c r="C61" s="5" t="n"/>
      <c r="E61" s="6" t="n"/>
      <c r="F61" s="6" t="n"/>
    </row>
    <row r="62">
      <c r="C62" s="5" t="n"/>
      <c r="E62" s="6" t="n"/>
      <c r="F62" s="6" t="n"/>
    </row>
    <row r="63">
      <c r="C63" s="5" t="n"/>
      <c r="E63" s="6" t="n"/>
      <c r="F63" s="6" t="n"/>
    </row>
    <row r="64">
      <c r="C64" s="5" t="n"/>
      <c r="E64" s="6" t="n"/>
      <c r="F64" s="6" t="n"/>
    </row>
    <row r="65">
      <c r="C65" s="5" t="n"/>
      <c r="E65" s="6" t="n"/>
      <c r="F65" s="6" t="n"/>
    </row>
    <row r="66">
      <c r="C66" s="5" t="n"/>
      <c r="E66" s="6" t="n"/>
      <c r="F66" s="6" t="n"/>
    </row>
    <row r="67">
      <c r="C67" s="5" t="n"/>
      <c r="E67" s="6" t="n"/>
      <c r="F67" s="6" t="n"/>
    </row>
    <row r="68">
      <c r="C68" s="5" t="n"/>
      <c r="E68" s="6" t="n"/>
      <c r="F68" s="6" t="n"/>
    </row>
    <row r="69">
      <c r="C69" s="5" t="n"/>
      <c r="E69" s="6" t="n"/>
      <c r="F69" s="6" t="n"/>
    </row>
    <row r="70">
      <c r="C70" s="5" t="n"/>
      <c r="E70" s="6" t="n"/>
      <c r="F70" s="6" t="n"/>
    </row>
    <row r="71">
      <c r="C71" s="5" t="n"/>
      <c r="E71" s="6" t="n"/>
      <c r="F71" s="6" t="n"/>
    </row>
    <row r="72">
      <c r="C72" s="5" t="n"/>
      <c r="E72" s="6" t="n"/>
      <c r="F72" s="6" t="n"/>
    </row>
    <row r="73">
      <c r="C73" s="5" t="n"/>
      <c r="E73" s="6" t="n"/>
      <c r="F73" s="6" t="n"/>
    </row>
    <row r="74">
      <c r="C74" s="5" t="n"/>
      <c r="E74" s="6" t="n"/>
      <c r="F74" s="6" t="n"/>
    </row>
    <row r="75">
      <c r="C75" s="5" t="n"/>
      <c r="E75" s="6" t="n"/>
      <c r="F75" s="6" t="n"/>
    </row>
    <row r="76">
      <c r="C76" s="5" t="n"/>
      <c r="E76" s="6" t="n"/>
      <c r="F76" s="6" t="n"/>
    </row>
    <row r="77">
      <c r="C77" s="5" t="n"/>
      <c r="E77" s="6" t="n"/>
      <c r="F77" s="6" t="n"/>
    </row>
    <row r="78">
      <c r="C78" s="5" t="n"/>
      <c r="E78" s="6" t="n"/>
      <c r="F78" s="6" t="n"/>
    </row>
    <row r="79">
      <c r="C79" s="5" t="n"/>
      <c r="E79" s="6" t="n"/>
      <c r="F79" s="6" t="n"/>
    </row>
    <row r="80">
      <c r="C80" s="5" t="n"/>
      <c r="E80" s="6" t="n"/>
      <c r="F80" s="6" t="n"/>
    </row>
    <row r="81">
      <c r="C81" s="5" t="n"/>
      <c r="E81" s="6" t="n"/>
      <c r="F81" s="6" t="n"/>
    </row>
    <row r="82">
      <c r="C82" s="5" t="n"/>
      <c r="E82" s="6" t="n"/>
      <c r="F82" s="6" t="n"/>
    </row>
    <row r="83">
      <c r="C83" s="5" t="n"/>
      <c r="E83" s="6" t="n"/>
      <c r="F83" s="6" t="n"/>
    </row>
    <row r="84">
      <c r="C84" s="5" t="n"/>
      <c r="E84" s="6" t="n"/>
      <c r="F84" s="6" t="n"/>
    </row>
    <row r="85">
      <c r="C85" s="5" t="n"/>
      <c r="E85" s="6" t="n"/>
      <c r="F85" s="6" t="n"/>
    </row>
    <row r="86">
      <c r="C86" s="5" t="n"/>
      <c r="E86" s="6" t="n"/>
      <c r="F86" s="6" t="n"/>
    </row>
    <row r="87">
      <c r="C87" s="5" t="n"/>
      <c r="E87" s="6" t="n"/>
      <c r="F87" s="6" t="n"/>
    </row>
    <row r="88">
      <c r="C88" s="5" t="n"/>
      <c r="E88" s="6" t="n"/>
      <c r="F88" s="6" t="n"/>
    </row>
    <row r="89">
      <c r="C89" s="5" t="n"/>
      <c r="E89" s="6" t="n"/>
      <c r="F89" s="6" t="n"/>
    </row>
    <row r="90">
      <c r="C90" s="5" t="n"/>
      <c r="E90" s="6" t="n"/>
      <c r="F90" s="6" t="n"/>
    </row>
    <row r="91">
      <c r="C91" s="5" t="n"/>
      <c r="E91" s="6" t="n"/>
      <c r="F91" s="6" t="n"/>
    </row>
    <row r="92">
      <c r="C92" s="5" t="n"/>
      <c r="E92" s="6" t="n"/>
      <c r="F92" s="6" t="n"/>
    </row>
    <row r="93">
      <c r="C93" s="5" t="n"/>
      <c r="E93" s="6" t="n"/>
      <c r="F93" s="6" t="n"/>
    </row>
    <row r="94">
      <c r="C94" s="5" t="n"/>
      <c r="E94" s="6" t="n"/>
      <c r="F94" s="6" t="n"/>
    </row>
    <row r="95">
      <c r="C95" s="5" t="n"/>
      <c r="E95" s="6" t="n"/>
      <c r="F95" s="6" t="n"/>
    </row>
    <row r="96">
      <c r="C96" s="5" t="n"/>
      <c r="E96" s="6" t="n"/>
      <c r="F96" s="6" t="n"/>
    </row>
    <row r="97">
      <c r="C97" s="5" t="n"/>
      <c r="E97" s="6" t="n"/>
      <c r="F97" s="6" t="n"/>
    </row>
    <row r="98">
      <c r="C98" s="5" t="n"/>
      <c r="E98" s="6" t="n"/>
      <c r="F98" s="6" t="n"/>
    </row>
    <row r="99">
      <c r="C99" s="5" t="n"/>
      <c r="E99" s="6" t="n"/>
      <c r="F99" s="6" t="n"/>
    </row>
    <row r="100">
      <c r="C100" s="5" t="n"/>
      <c r="E100" s="6" t="n"/>
      <c r="F100" s="6" t="n"/>
    </row>
    <row r="101">
      <c r="C101" s="5" t="n"/>
      <c r="E101" s="6" t="n"/>
      <c r="F101" s="6" t="n"/>
    </row>
    <row r="102">
      <c r="C102" s="5" t="n"/>
      <c r="E102" s="6" t="n"/>
      <c r="F102" s="6" t="n"/>
    </row>
    <row r="103">
      <c r="C103" s="5" t="n"/>
      <c r="E103" s="6" t="n"/>
      <c r="F103" s="6" t="n"/>
    </row>
    <row r="104">
      <c r="C104" s="5" t="n"/>
      <c r="E104" s="6" t="n"/>
      <c r="F104" s="6" t="n"/>
    </row>
    <row r="105">
      <c r="C105" s="5" t="n"/>
      <c r="E105" s="6" t="n"/>
      <c r="F105" s="6" t="n"/>
    </row>
    <row r="106">
      <c r="C106" s="5" t="n"/>
      <c r="E106" s="6" t="n"/>
      <c r="F106" s="6" t="n"/>
    </row>
    <row r="107">
      <c r="C107" s="5" t="n"/>
      <c r="E107" s="6" t="n"/>
      <c r="F107" s="6" t="n"/>
    </row>
    <row r="108">
      <c r="C108" s="5" t="n"/>
      <c r="E108" s="6" t="n"/>
      <c r="F108" s="6" t="n"/>
    </row>
    <row r="109">
      <c r="C109" s="5" t="n"/>
      <c r="E109" s="6" t="n"/>
      <c r="F109" s="6" t="n"/>
    </row>
    <row r="110">
      <c r="C110" s="5" t="n"/>
      <c r="E110" s="6" t="n"/>
      <c r="F110" s="6" t="n"/>
    </row>
    <row r="111">
      <c r="C111" s="5" t="n"/>
      <c r="E111" s="6" t="n"/>
      <c r="F111" s="6" t="n"/>
    </row>
    <row r="112">
      <c r="C112" s="5" t="n"/>
      <c r="E112" s="6" t="n"/>
      <c r="F112" s="6" t="n"/>
    </row>
    <row r="113">
      <c r="C113" s="5" t="n"/>
      <c r="E113" s="6" t="n"/>
      <c r="F113" s="6" t="n"/>
    </row>
    <row r="114">
      <c r="C114" s="5" t="n"/>
      <c r="E114" s="6" t="n"/>
      <c r="F114" s="6" t="n"/>
    </row>
    <row r="115">
      <c r="C115" s="5" t="n"/>
      <c r="E115" s="6" t="n"/>
      <c r="F115" s="6" t="n"/>
    </row>
    <row r="116">
      <c r="C116" s="5" t="n"/>
      <c r="E116" s="6" t="n"/>
      <c r="F116" s="6" t="n"/>
    </row>
    <row r="117">
      <c r="C117" s="5" t="n"/>
      <c r="E117" s="6" t="n"/>
      <c r="F117" s="6" t="n"/>
    </row>
    <row r="118">
      <c r="C118" s="5" t="n"/>
      <c r="E118" s="6" t="n"/>
      <c r="F118" s="6" t="n"/>
    </row>
    <row r="119">
      <c r="C119" s="5" t="n"/>
      <c r="E119" s="6" t="n"/>
      <c r="F119" s="6" t="n"/>
    </row>
    <row r="120">
      <c r="C120" s="5" t="n"/>
      <c r="E120" s="6" t="n"/>
      <c r="F120" s="6" t="n"/>
    </row>
    <row r="121">
      <c r="C121" s="5" t="n"/>
      <c r="E121" s="6" t="n"/>
      <c r="F121" s="6" t="n"/>
    </row>
    <row r="122">
      <c r="C122" s="5" t="n"/>
      <c r="E122" s="6" t="n"/>
      <c r="F122" s="6" t="n"/>
    </row>
    <row r="123">
      <c r="C123" s="5" t="n"/>
      <c r="E123" s="6" t="n"/>
      <c r="F123" s="6" t="n"/>
    </row>
    <row r="124">
      <c r="C124" s="5" t="n"/>
      <c r="E124" s="6" t="n"/>
      <c r="F124" s="6" t="n"/>
    </row>
    <row r="125">
      <c r="C125" s="5" t="n"/>
      <c r="E125" s="6" t="n"/>
      <c r="F125" s="6" t="n"/>
    </row>
    <row r="126">
      <c r="C126" s="5" t="n"/>
      <c r="E126" s="6" t="n"/>
      <c r="F126" s="6" t="n"/>
    </row>
    <row r="127">
      <c r="C127" s="5" t="n"/>
      <c r="E127" s="6" t="n"/>
      <c r="F127" s="6" t="n"/>
    </row>
    <row r="128">
      <c r="C128" s="5" t="n"/>
      <c r="E128" s="6" t="n"/>
      <c r="F128" s="6" t="n"/>
    </row>
    <row r="129">
      <c r="C129" s="5" t="n"/>
      <c r="E129" s="6" t="n"/>
      <c r="F129" s="6" t="n"/>
    </row>
    <row r="130">
      <c r="C130" s="5" t="n"/>
      <c r="E130" s="6" t="n"/>
      <c r="F130" s="6" t="n"/>
    </row>
    <row r="131">
      <c r="C131" s="5" t="n"/>
      <c r="E131" s="6" t="n"/>
      <c r="F131" s="6" t="n"/>
    </row>
    <row r="132">
      <c r="C132" s="5" t="n"/>
      <c r="E132" s="6" t="n"/>
      <c r="F132" s="6" t="n"/>
    </row>
    <row r="133">
      <c r="C133" s="5" t="n"/>
      <c r="E133" s="6" t="n"/>
      <c r="F133" s="6" t="n"/>
    </row>
    <row r="134">
      <c r="C134" s="5" t="n"/>
      <c r="E134" s="6" t="n"/>
      <c r="F134" s="6" t="n"/>
    </row>
    <row r="135">
      <c r="C135" s="5" t="n"/>
      <c r="E135" s="6" t="n"/>
      <c r="F135" s="6" t="n"/>
    </row>
    <row r="136">
      <c r="C136" s="5" t="n"/>
      <c r="E136" s="6" t="n"/>
      <c r="F136" s="6" t="n"/>
    </row>
    <row r="137">
      <c r="C137" s="5" t="n"/>
      <c r="E137" s="6" t="n"/>
      <c r="F137" s="6" t="n"/>
    </row>
    <row r="138">
      <c r="C138" s="5" t="n"/>
      <c r="E138" s="6" t="n"/>
      <c r="F138" s="6" t="n"/>
    </row>
    <row r="139">
      <c r="C139" s="5" t="n"/>
      <c r="E139" s="6" t="n"/>
      <c r="F139" s="6" t="n"/>
    </row>
    <row r="140">
      <c r="C140" s="5" t="n"/>
      <c r="E140" s="6" t="n"/>
      <c r="F140" s="6" t="n"/>
    </row>
    <row r="141">
      <c r="C141" s="5" t="n"/>
      <c r="E141" s="6" t="n"/>
      <c r="F141" s="6" t="n"/>
    </row>
    <row r="142">
      <c r="C142" s="5" t="n"/>
      <c r="E142" s="6" t="n"/>
      <c r="F142" s="6" t="n"/>
    </row>
    <row r="143">
      <c r="C143" s="5" t="n"/>
      <c r="E143" s="6" t="n"/>
      <c r="F143" s="6" t="n"/>
    </row>
    <row r="144">
      <c r="C144" s="5" t="n"/>
      <c r="E144" s="6" t="n"/>
      <c r="F144" s="6" t="n"/>
    </row>
    <row r="145">
      <c r="C145" s="5" t="n"/>
      <c r="E145" s="6" t="n"/>
      <c r="F145" s="6" t="n"/>
    </row>
    <row r="146">
      <c r="C146" s="5" t="n"/>
      <c r="E146" s="6" t="n"/>
      <c r="F146" s="6" t="n"/>
    </row>
    <row r="147">
      <c r="C147" s="5" t="n"/>
      <c r="E147" s="6" t="n"/>
      <c r="F147" s="6" t="n"/>
    </row>
    <row r="148">
      <c r="C148" s="5" t="n"/>
      <c r="E148" s="6" t="n"/>
      <c r="F148" s="6" t="n"/>
    </row>
    <row r="149">
      <c r="C149" s="5" t="n"/>
      <c r="E149" s="6" t="n"/>
      <c r="F149" s="6" t="n"/>
    </row>
    <row r="150">
      <c r="C150" s="5" t="n"/>
      <c r="E150" s="6" t="n"/>
      <c r="F150" s="6" t="n"/>
    </row>
    <row r="151">
      <c r="C151" s="5" t="n"/>
      <c r="E151" s="6" t="n"/>
      <c r="F151" s="6" t="n"/>
    </row>
    <row r="152">
      <c r="C152" s="5" t="n"/>
      <c r="E152" s="6" t="n"/>
      <c r="F152" s="6" t="n"/>
    </row>
    <row r="153">
      <c r="C153" s="5" t="n"/>
      <c r="E153" s="6" t="n"/>
      <c r="F153" s="6" t="n"/>
    </row>
    <row r="154">
      <c r="C154" s="5" t="n"/>
      <c r="E154" s="6" t="n"/>
      <c r="F154" s="6" t="n"/>
    </row>
    <row r="155">
      <c r="C155" s="5" t="n"/>
      <c r="E155" s="6" t="n"/>
      <c r="F155" s="6" t="n"/>
    </row>
    <row r="156">
      <c r="C156" s="5" t="n"/>
      <c r="E156" s="6" t="n"/>
      <c r="F156" s="6" t="n"/>
    </row>
    <row r="157">
      <c r="C157" s="5" t="n"/>
      <c r="E157" s="6" t="n"/>
      <c r="F157" s="6" t="n"/>
    </row>
    <row r="158">
      <c r="C158" s="5" t="n"/>
      <c r="E158" s="6" t="n"/>
      <c r="F158" s="6" t="n"/>
    </row>
    <row r="159">
      <c r="C159" s="5" t="n"/>
      <c r="E159" s="6" t="n"/>
      <c r="F159" s="6" t="n"/>
    </row>
    <row r="160">
      <c r="C160" s="5" t="n"/>
      <c r="E160" s="6" t="n"/>
      <c r="F160" s="6" t="n"/>
    </row>
    <row r="161">
      <c r="C161" s="5" t="n"/>
      <c r="E161" s="6" t="n"/>
      <c r="F161" s="6" t="n"/>
    </row>
    <row r="162">
      <c r="C162" s="5" t="n"/>
      <c r="E162" s="6" t="n"/>
      <c r="F162" s="6" t="n"/>
    </row>
    <row r="163">
      <c r="C163" s="5" t="n"/>
      <c r="E163" s="6" t="n"/>
      <c r="F163" s="6" t="n"/>
    </row>
    <row r="164">
      <c r="C164" s="5" t="n"/>
      <c r="E164" s="6" t="n"/>
      <c r="F164" s="6" t="n"/>
    </row>
    <row r="165">
      <c r="C165" s="5" t="n"/>
      <c r="E165" s="6" t="n"/>
      <c r="F165" s="6" t="n"/>
    </row>
    <row r="166">
      <c r="C166" s="5" t="n"/>
      <c r="E166" s="6" t="n"/>
      <c r="F166" s="6" t="n"/>
    </row>
    <row r="167">
      <c r="C167" s="5" t="n"/>
      <c r="E167" s="6" t="n"/>
      <c r="F167" s="6" t="n"/>
    </row>
    <row r="168">
      <c r="C168" s="5" t="n"/>
      <c r="E168" s="6" t="n"/>
      <c r="F168" s="6" t="n"/>
    </row>
    <row r="169">
      <c r="C169" s="5" t="n"/>
      <c r="E169" s="6" t="n"/>
      <c r="F169" s="6" t="n"/>
    </row>
    <row r="170">
      <c r="C170" s="5" t="n"/>
      <c r="E170" s="6" t="n"/>
      <c r="F170" s="6" t="n"/>
    </row>
    <row r="171">
      <c r="C171" s="5" t="n"/>
      <c r="E171" s="6" t="n"/>
      <c r="F171" s="6" t="n"/>
    </row>
    <row r="172">
      <c r="C172" s="5" t="n"/>
      <c r="E172" s="6" t="n"/>
      <c r="F172" s="6" t="n"/>
    </row>
    <row r="173">
      <c r="C173" s="5" t="n"/>
      <c r="E173" s="6" t="n"/>
      <c r="F173" s="6" t="n"/>
    </row>
    <row r="174">
      <c r="C174" s="5" t="n"/>
      <c r="E174" s="6" t="n"/>
      <c r="F174" s="6" t="n"/>
    </row>
    <row r="175">
      <c r="C175" s="5" t="n"/>
      <c r="E175" s="6" t="n"/>
      <c r="F175" s="6" t="n"/>
    </row>
    <row r="176">
      <c r="C176" s="5" t="n"/>
      <c r="E176" s="6" t="n"/>
      <c r="F176" s="6" t="n"/>
    </row>
    <row r="177">
      <c r="C177" s="5" t="n"/>
      <c r="E177" s="6" t="n"/>
      <c r="F177" s="6" t="n"/>
    </row>
    <row r="178">
      <c r="C178" s="5" t="n"/>
      <c r="E178" s="6" t="n"/>
      <c r="F178" s="6" t="n"/>
    </row>
    <row r="179">
      <c r="C179" s="5" t="n"/>
      <c r="E179" s="6" t="n"/>
      <c r="F179" s="6" t="n"/>
    </row>
    <row r="180">
      <c r="C180" s="5" t="n"/>
      <c r="E180" s="6" t="n"/>
      <c r="F180" s="6" t="n"/>
    </row>
    <row r="181">
      <c r="C181" s="5" t="n"/>
      <c r="E181" s="6" t="n"/>
      <c r="F181" s="6" t="n"/>
    </row>
    <row r="182">
      <c r="C182" s="5" t="n"/>
      <c r="E182" s="6" t="n"/>
      <c r="F182" s="6" t="n"/>
    </row>
    <row r="183">
      <c r="C183" s="5" t="n"/>
      <c r="E183" s="6" t="n"/>
      <c r="F183" s="6" t="n"/>
    </row>
    <row r="184">
      <c r="C184" s="5" t="n"/>
      <c r="E184" s="6" t="n"/>
      <c r="F184" s="6" t="n"/>
    </row>
    <row r="185">
      <c r="C185" s="5" t="n"/>
      <c r="E185" s="6" t="n"/>
      <c r="F185" s="6" t="n"/>
    </row>
    <row r="186">
      <c r="C186" s="5" t="n"/>
      <c r="E186" s="6" t="n"/>
      <c r="F186" s="6" t="n"/>
    </row>
    <row r="187">
      <c r="C187" s="5" t="n"/>
      <c r="E187" s="6" t="n"/>
      <c r="F187" s="6" t="n"/>
    </row>
    <row r="188">
      <c r="C188" s="5" t="n"/>
      <c r="E188" s="6" t="n"/>
      <c r="F188" s="6" t="n"/>
    </row>
    <row r="189">
      <c r="C189" s="5" t="n"/>
      <c r="E189" s="6" t="n"/>
      <c r="F189" s="6" t="n"/>
    </row>
    <row r="190">
      <c r="C190" s="5" t="n"/>
      <c r="E190" s="6" t="n"/>
      <c r="F190" s="6" t="n"/>
    </row>
    <row r="191">
      <c r="C191" s="5" t="n"/>
      <c r="E191" s="6" t="n"/>
      <c r="F191" s="6" t="n"/>
    </row>
    <row r="192">
      <c r="C192" s="5" t="n"/>
      <c r="E192" s="6" t="n"/>
      <c r="F192" s="6" t="n"/>
    </row>
    <row r="193">
      <c r="C193" s="5" t="n"/>
      <c r="E193" s="6" t="n"/>
      <c r="F193" s="6" t="n"/>
    </row>
    <row r="194">
      <c r="C194" s="5" t="n"/>
      <c r="E194" s="6" t="n"/>
      <c r="F194" s="6" t="n"/>
    </row>
    <row r="195">
      <c r="C195" s="5" t="n"/>
      <c r="E195" s="6" t="n"/>
      <c r="F195" s="6" t="n"/>
    </row>
    <row r="196">
      <c r="C196" s="5" t="n"/>
      <c r="E196" s="6" t="n"/>
      <c r="F196" s="6" t="n"/>
    </row>
    <row r="197">
      <c r="C197" s="5" t="n"/>
      <c r="E197" s="6" t="n"/>
      <c r="F197" s="6" t="n"/>
    </row>
    <row r="198">
      <c r="C198" s="5" t="n"/>
      <c r="E198" s="6" t="n"/>
      <c r="F198" s="6" t="n"/>
    </row>
    <row r="199">
      <c r="C199" s="5" t="n"/>
      <c r="E199" s="6" t="n"/>
      <c r="F199" s="6" t="n"/>
    </row>
    <row r="200">
      <c r="C200" s="5" t="n"/>
      <c r="E200" s="6" t="n"/>
      <c r="F200" s="6" t="n"/>
    </row>
    <row r="201">
      <c r="C201" s="5" t="n"/>
      <c r="E201" s="6" t="n"/>
      <c r="F201" s="6" t="n"/>
    </row>
    <row r="202">
      <c r="C202" s="5" t="n"/>
      <c r="E202" s="6" t="n"/>
      <c r="F202" s="6" t="n"/>
    </row>
    <row r="203">
      <c r="C203" s="5" t="n"/>
      <c r="E203" s="6" t="n"/>
      <c r="F203" s="6" t="n"/>
    </row>
    <row r="204">
      <c r="C204" s="5" t="n"/>
      <c r="E204" s="6" t="n"/>
      <c r="F204" s="6" t="n"/>
    </row>
    <row r="205">
      <c r="C205" s="5" t="n"/>
      <c r="E205" s="6" t="n"/>
      <c r="F205" s="6" t="n"/>
    </row>
    <row r="206">
      <c r="C206" s="5" t="n"/>
      <c r="E206" s="6" t="n"/>
      <c r="F206" s="6" t="n"/>
    </row>
    <row r="207">
      <c r="C207" s="5" t="n"/>
      <c r="E207" s="6" t="n"/>
      <c r="F207" s="6" t="n"/>
    </row>
    <row r="208">
      <c r="C208" s="5" t="n"/>
      <c r="E208" s="6" t="n"/>
      <c r="F208" s="6" t="n"/>
    </row>
    <row r="209">
      <c r="C209" s="5" t="n"/>
      <c r="E209" s="6" t="n"/>
      <c r="F209" s="6" t="n"/>
    </row>
    <row r="210">
      <c r="C210" s="5" t="n"/>
      <c r="E210" s="6" t="n"/>
      <c r="F210" s="6" t="n"/>
    </row>
    <row r="211">
      <c r="C211" s="5" t="n"/>
      <c r="E211" s="6" t="n"/>
      <c r="F211" s="6" t="n"/>
    </row>
    <row r="212">
      <c r="C212" s="5" t="n"/>
      <c r="E212" s="6" t="n"/>
      <c r="F212" s="6" t="n"/>
    </row>
    <row r="213">
      <c r="C213" s="5" t="n"/>
      <c r="E213" s="6" t="n"/>
      <c r="F213" s="6" t="n"/>
    </row>
    <row r="214">
      <c r="C214" s="5" t="n"/>
      <c r="E214" s="6" t="n"/>
      <c r="F214" s="6" t="n"/>
    </row>
    <row r="215">
      <c r="C215" s="5" t="n"/>
      <c r="E215" s="6" t="n"/>
      <c r="F215" s="6" t="n"/>
    </row>
    <row r="216">
      <c r="C216" s="5" t="n"/>
      <c r="E216" s="6" t="n"/>
      <c r="F216" s="6" t="n"/>
    </row>
    <row r="217">
      <c r="C217" s="5" t="n"/>
      <c r="E217" s="6" t="n"/>
      <c r="F217" s="6" t="n"/>
    </row>
    <row r="218">
      <c r="C218" s="5" t="n"/>
      <c r="E218" s="6" t="n"/>
      <c r="F218" s="6" t="n"/>
    </row>
    <row r="219">
      <c r="C219" s="5" t="n"/>
      <c r="E219" s="6" t="n"/>
      <c r="F219" s="6" t="n"/>
    </row>
    <row r="220">
      <c r="C220" s="5" t="n"/>
      <c r="E220" s="6" t="n"/>
      <c r="F220" s="6" t="n"/>
    </row>
    <row r="221">
      <c r="C221" s="5" t="n"/>
      <c r="E221" s="6" t="n"/>
      <c r="F221" s="6" t="n"/>
    </row>
    <row r="222">
      <c r="C222" s="5" t="n"/>
      <c r="E222" s="6" t="n"/>
      <c r="F222" s="6" t="n"/>
    </row>
    <row r="223">
      <c r="C223" s="5" t="n"/>
      <c r="E223" s="6" t="n"/>
      <c r="F223" s="6" t="n"/>
    </row>
    <row r="224">
      <c r="C224" s="5" t="n"/>
      <c r="E224" s="6" t="n"/>
      <c r="F224" s="6" t="n"/>
    </row>
    <row r="225">
      <c r="C225" s="5" t="n"/>
      <c r="E225" s="6" t="n"/>
      <c r="F225" s="6" t="n"/>
    </row>
    <row r="226">
      <c r="C226" s="5" t="n"/>
      <c r="E226" s="6" t="n"/>
      <c r="F226" s="6" t="n"/>
    </row>
    <row r="227">
      <c r="C227" s="5" t="n"/>
      <c r="E227" s="6" t="n"/>
      <c r="F227" s="6" t="n"/>
    </row>
    <row r="228">
      <c r="C228" s="5" t="n"/>
      <c r="E228" s="6" t="n"/>
      <c r="F228" s="6" t="n"/>
    </row>
    <row r="229">
      <c r="C229" s="5" t="n"/>
      <c r="E229" s="6" t="n"/>
      <c r="F229" s="6" t="n"/>
    </row>
    <row r="230">
      <c r="C230" s="5" t="n"/>
      <c r="E230" s="6" t="n"/>
      <c r="F230" s="6" t="n"/>
    </row>
    <row r="231">
      <c r="C231" s="5" t="n"/>
      <c r="E231" s="6" t="n"/>
      <c r="F231" s="6" t="n"/>
    </row>
    <row r="232">
      <c r="C232" s="5" t="n"/>
      <c r="E232" s="6" t="n"/>
      <c r="F232" s="6" t="n"/>
    </row>
    <row r="233">
      <c r="C233" s="5" t="n"/>
      <c r="E233" s="6" t="n"/>
      <c r="F233" s="6" t="n"/>
    </row>
    <row r="234">
      <c r="C234" s="5" t="n"/>
      <c r="E234" s="6" t="n"/>
      <c r="F234" s="6" t="n"/>
    </row>
    <row r="235">
      <c r="C235" s="5" t="n"/>
      <c r="E235" s="6" t="n"/>
      <c r="F235" s="6" t="n"/>
    </row>
    <row r="236">
      <c r="C236" s="5" t="n"/>
      <c r="E236" s="6" t="n"/>
      <c r="F236" s="6" t="n"/>
    </row>
    <row r="237">
      <c r="C237" s="5" t="n"/>
      <c r="E237" s="6" t="n"/>
      <c r="F237" s="6" t="n"/>
    </row>
    <row r="238">
      <c r="C238" s="5" t="n"/>
      <c r="E238" s="6" t="n"/>
      <c r="F238" s="6" t="n"/>
    </row>
    <row r="239">
      <c r="C239" s="5" t="n"/>
      <c r="E239" s="6" t="n"/>
      <c r="F239" s="6" t="n"/>
    </row>
    <row r="240">
      <c r="C240" s="5" t="n"/>
      <c r="E240" s="6" t="n"/>
      <c r="F240" s="6" t="n"/>
    </row>
    <row r="241">
      <c r="C241" s="5" t="n"/>
      <c r="E241" s="6" t="n"/>
      <c r="F241" s="6" t="n"/>
    </row>
    <row r="242">
      <c r="C242" s="5" t="n"/>
      <c r="E242" s="6" t="n"/>
      <c r="F242" s="6" t="n"/>
    </row>
    <row r="243">
      <c r="C243" s="5" t="n"/>
      <c r="E243" s="6" t="n"/>
      <c r="F243" s="6" t="n"/>
    </row>
    <row r="244">
      <c r="C244" s="5" t="n"/>
      <c r="E244" s="6" t="n"/>
      <c r="F244" s="6" t="n"/>
    </row>
    <row r="245">
      <c r="C245" s="5" t="n"/>
      <c r="E245" s="6" t="n"/>
      <c r="F245" s="6" t="n"/>
    </row>
    <row r="246">
      <c r="C246" s="5" t="n"/>
      <c r="E246" s="6" t="n"/>
      <c r="F246" s="6" t="n"/>
    </row>
    <row r="247">
      <c r="C247" s="5" t="n"/>
      <c r="E247" s="6" t="n"/>
      <c r="F247" s="6" t="n"/>
    </row>
    <row r="248">
      <c r="C248" s="5" t="n"/>
      <c r="E248" s="6" t="n"/>
      <c r="F248" s="6" t="n"/>
    </row>
    <row r="249">
      <c r="C249" s="5" t="n"/>
      <c r="E249" s="6" t="n"/>
      <c r="F249" s="6" t="n"/>
    </row>
    <row r="250">
      <c r="C250" s="5" t="n"/>
      <c r="E250" s="6" t="n"/>
      <c r="F250" s="6" t="n"/>
    </row>
    <row r="251">
      <c r="C251" s="5" t="n"/>
      <c r="E251" s="6" t="n"/>
      <c r="F251" s="6" t="n"/>
    </row>
    <row r="252">
      <c r="C252" s="5" t="n"/>
      <c r="E252" s="6" t="n"/>
      <c r="F252" s="6" t="n"/>
    </row>
    <row r="253">
      <c r="C253" s="5" t="n"/>
      <c r="E253" s="6" t="n"/>
      <c r="F253" s="6" t="n"/>
    </row>
    <row r="254">
      <c r="C254" s="5" t="n"/>
      <c r="E254" s="6" t="n"/>
      <c r="F254" s="6" t="n"/>
    </row>
    <row r="255">
      <c r="C255" s="5" t="n"/>
      <c r="E255" s="6" t="n"/>
      <c r="F255" s="6" t="n"/>
    </row>
    <row r="256">
      <c r="C256" s="5" t="n"/>
      <c r="E256" s="6" t="n"/>
      <c r="F256" s="6" t="n"/>
    </row>
    <row r="257">
      <c r="C257" s="5" t="n"/>
      <c r="E257" s="6" t="n"/>
      <c r="F257" s="6" t="n"/>
    </row>
    <row r="258">
      <c r="C258" s="5" t="n"/>
      <c r="E258" s="6" t="n"/>
      <c r="F258" s="6" t="n"/>
    </row>
    <row r="259">
      <c r="C259" s="5" t="n"/>
      <c r="E259" s="6" t="n"/>
      <c r="F259" s="6" t="n"/>
    </row>
    <row r="260">
      <c r="C260" s="5" t="n"/>
      <c r="E260" s="6" t="n"/>
      <c r="F260" s="6" t="n"/>
    </row>
    <row r="261">
      <c r="C261" s="5" t="n"/>
      <c r="E261" s="6" t="n"/>
      <c r="F261" s="6" t="n"/>
    </row>
    <row r="262">
      <c r="C262" s="5" t="n"/>
      <c r="E262" s="6" t="n"/>
      <c r="F262" s="6" t="n"/>
    </row>
    <row r="263">
      <c r="C263" s="5" t="n"/>
      <c r="E263" s="6" t="n"/>
      <c r="F263" s="6" t="n"/>
    </row>
    <row r="264">
      <c r="C264" s="5" t="n"/>
      <c r="E264" s="6" t="n"/>
      <c r="F264" s="6" t="n"/>
    </row>
    <row r="265">
      <c r="C265" s="5" t="n"/>
      <c r="E265" s="6" t="n"/>
      <c r="F265" s="6" t="n"/>
    </row>
    <row r="266">
      <c r="C266" s="5" t="n"/>
      <c r="E266" s="6" t="n"/>
      <c r="F266" s="6" t="n"/>
    </row>
    <row r="267">
      <c r="C267" s="5" t="n"/>
      <c r="E267" s="6" t="n"/>
      <c r="F267" s="6" t="n"/>
    </row>
    <row r="268">
      <c r="C268" s="5" t="n"/>
      <c r="E268" s="6" t="n"/>
      <c r="F268" s="6" t="n"/>
    </row>
    <row r="269">
      <c r="C269" s="5" t="n"/>
      <c r="E269" s="6" t="n"/>
      <c r="F269" s="6" t="n"/>
    </row>
    <row r="270">
      <c r="C270" s="5" t="n"/>
      <c r="E270" s="6" t="n"/>
      <c r="F270" s="6" t="n"/>
    </row>
    <row r="271">
      <c r="C271" s="5" t="n"/>
      <c r="E271" s="6" t="n"/>
      <c r="F271" s="6" t="n"/>
    </row>
    <row r="272">
      <c r="C272" s="5" t="n"/>
      <c r="E272" s="6" t="n"/>
      <c r="F272" s="6" t="n"/>
    </row>
    <row r="273">
      <c r="C273" s="5" t="n"/>
      <c r="E273" s="6" t="n"/>
      <c r="F273" s="6" t="n"/>
    </row>
    <row r="274">
      <c r="C274" s="5" t="n"/>
      <c r="E274" s="6" t="n"/>
      <c r="F274" s="6" t="n"/>
    </row>
    <row r="275">
      <c r="C275" s="5" t="n"/>
      <c r="E275" s="6" t="n"/>
      <c r="F275" s="6" t="n"/>
    </row>
    <row r="276">
      <c r="C276" s="5" t="n"/>
      <c r="E276" s="6" t="n"/>
      <c r="F276" s="6" t="n"/>
    </row>
    <row r="277">
      <c r="C277" s="5" t="n"/>
      <c r="E277" s="6" t="n"/>
      <c r="F277" s="6" t="n"/>
    </row>
    <row r="278">
      <c r="C278" s="5" t="n"/>
      <c r="E278" s="6" t="n"/>
      <c r="F278" s="6" t="n"/>
    </row>
    <row r="279">
      <c r="C279" s="5" t="n"/>
      <c r="E279" s="6" t="n"/>
      <c r="F279" s="6" t="n"/>
    </row>
    <row r="280">
      <c r="C280" s="5" t="n"/>
      <c r="E280" s="6" t="n"/>
      <c r="F280" s="6" t="n"/>
    </row>
    <row r="281">
      <c r="C281" s="5" t="n"/>
      <c r="E281" s="6" t="n"/>
      <c r="F281" s="6" t="n"/>
    </row>
    <row r="282">
      <c r="C282" s="5" t="n"/>
      <c r="E282" s="6" t="n"/>
      <c r="F282" s="6" t="n"/>
    </row>
    <row r="283">
      <c r="C283" s="5" t="n"/>
      <c r="E283" s="6" t="n"/>
      <c r="F283" s="6" t="n"/>
    </row>
    <row r="284">
      <c r="C284" s="5" t="n"/>
      <c r="E284" s="6" t="n"/>
      <c r="F284" s="6" t="n"/>
    </row>
    <row r="285">
      <c r="C285" s="5" t="n"/>
      <c r="E285" s="6" t="n"/>
      <c r="F285" s="6" t="n"/>
    </row>
    <row r="286">
      <c r="C286" s="5" t="n"/>
      <c r="E286" s="6" t="n"/>
      <c r="F286" s="6" t="n"/>
    </row>
    <row r="287">
      <c r="C287" s="5" t="n"/>
      <c r="E287" s="6" t="n"/>
      <c r="F287" s="6" t="n"/>
    </row>
    <row r="288">
      <c r="C288" s="5" t="n"/>
      <c r="E288" s="6" t="n"/>
      <c r="F288" s="6" t="n"/>
    </row>
    <row r="289">
      <c r="C289" s="5" t="n"/>
      <c r="E289" s="6" t="n"/>
      <c r="F289" s="6" t="n"/>
    </row>
    <row r="290">
      <c r="C290" s="5" t="n"/>
      <c r="E290" s="6" t="n"/>
      <c r="F290" s="6" t="n"/>
    </row>
    <row r="291">
      <c r="C291" s="5" t="n"/>
      <c r="E291" s="6" t="n"/>
      <c r="F291" s="6" t="n"/>
    </row>
    <row r="292">
      <c r="C292" s="5" t="n"/>
      <c r="E292" s="6" t="n"/>
      <c r="F292" s="6" t="n"/>
    </row>
    <row r="293">
      <c r="C293" s="5" t="n"/>
      <c r="E293" s="6" t="n"/>
      <c r="F293" s="6" t="n"/>
    </row>
    <row r="294">
      <c r="C294" s="5" t="n"/>
      <c r="E294" s="6" t="n"/>
      <c r="F294" s="6" t="n"/>
    </row>
    <row r="295">
      <c r="C295" s="5" t="n"/>
      <c r="E295" s="6" t="n"/>
      <c r="F295" s="6" t="n"/>
    </row>
    <row r="296">
      <c r="C296" s="5" t="n"/>
      <c r="E296" s="6" t="n"/>
      <c r="F296" s="6" t="n"/>
    </row>
    <row r="297">
      <c r="C297" s="5" t="n"/>
      <c r="E297" s="6" t="n"/>
      <c r="F297" s="6" t="n"/>
    </row>
    <row r="298">
      <c r="C298" s="5" t="n"/>
      <c r="E298" s="6" t="n"/>
      <c r="F298" s="6" t="n"/>
    </row>
    <row r="299">
      <c r="C299" s="5" t="n"/>
      <c r="E299" s="6" t="n"/>
      <c r="F299" s="6" t="n"/>
    </row>
    <row r="300">
      <c r="C300" s="5" t="n"/>
      <c r="E300" s="6" t="n"/>
      <c r="F300" s="6" t="n"/>
    </row>
    <row r="301">
      <c r="C301" s="5" t="n"/>
      <c r="E301" s="6" t="n"/>
      <c r="F301" s="6" t="n"/>
    </row>
    <row r="302">
      <c r="C302" s="5" t="n"/>
      <c r="E302" s="6" t="n"/>
      <c r="F302" s="6" t="n"/>
    </row>
    <row r="303">
      <c r="C303" s="5" t="n"/>
      <c r="E303" s="6" t="n"/>
      <c r="F303" s="6" t="n"/>
    </row>
    <row r="304">
      <c r="C304" s="5" t="n"/>
      <c r="E304" s="6" t="n"/>
      <c r="F304" s="6" t="n"/>
    </row>
    <row r="305">
      <c r="C305" s="5" t="n"/>
      <c r="E305" s="6" t="n"/>
      <c r="F305" s="6" t="n"/>
    </row>
    <row r="306">
      <c r="C306" s="5" t="n"/>
      <c r="E306" s="6" t="n"/>
      <c r="F306" s="6" t="n"/>
    </row>
    <row r="307">
      <c r="C307" s="5" t="n"/>
      <c r="E307" s="6" t="n"/>
      <c r="F307" s="6" t="n"/>
    </row>
    <row r="308">
      <c r="C308" s="5" t="n"/>
      <c r="E308" s="6" t="n"/>
      <c r="F308" s="6" t="n"/>
    </row>
    <row r="309">
      <c r="C309" s="5" t="n"/>
      <c r="E309" s="6" t="n"/>
      <c r="F309" s="6" t="n"/>
    </row>
    <row r="310">
      <c r="C310" s="5" t="n"/>
      <c r="E310" s="6" t="n"/>
      <c r="F310" s="6" t="n"/>
    </row>
    <row r="311">
      <c r="C311" s="5" t="n"/>
      <c r="E311" s="6" t="n"/>
      <c r="F311" s="6" t="n"/>
    </row>
    <row r="312">
      <c r="C312" s="5" t="n"/>
      <c r="E312" s="6" t="n"/>
      <c r="F312" s="6" t="n"/>
    </row>
    <row r="313">
      <c r="C313" s="5" t="n"/>
      <c r="E313" s="6" t="n"/>
      <c r="F313" s="6" t="n"/>
    </row>
    <row r="314">
      <c r="C314" s="5" t="n"/>
      <c r="E314" s="6" t="n"/>
      <c r="F314" s="6" t="n"/>
    </row>
    <row r="315">
      <c r="C315" s="5" t="n"/>
      <c r="E315" s="6" t="n"/>
      <c r="F315" s="6" t="n"/>
    </row>
    <row r="316">
      <c r="C316" s="5" t="n"/>
      <c r="E316" s="6" t="n"/>
      <c r="F316" s="6" t="n"/>
    </row>
    <row r="317">
      <c r="C317" s="5" t="n"/>
      <c r="E317" s="6" t="n"/>
      <c r="F317" s="6" t="n"/>
    </row>
    <row r="318">
      <c r="C318" s="5" t="n"/>
      <c r="E318" s="6" t="n"/>
      <c r="F318" s="6" t="n"/>
    </row>
    <row r="319">
      <c r="C319" s="5" t="n"/>
      <c r="E319" s="6" t="n"/>
      <c r="F319" s="6" t="n"/>
    </row>
    <row r="320">
      <c r="C320" s="5" t="n"/>
      <c r="E320" s="6" t="n"/>
      <c r="F320" s="6" t="n"/>
    </row>
    <row r="321">
      <c r="C321" s="5" t="n"/>
      <c r="E321" s="6" t="n"/>
      <c r="F321" s="6" t="n"/>
    </row>
    <row r="322">
      <c r="C322" s="5" t="n"/>
      <c r="E322" s="6" t="n"/>
      <c r="F322" s="6" t="n"/>
    </row>
    <row r="323">
      <c r="C323" s="5" t="n"/>
      <c r="E323" s="6" t="n"/>
      <c r="F323" s="6" t="n"/>
    </row>
    <row r="324">
      <c r="C324" s="5" t="n"/>
      <c r="E324" s="6" t="n"/>
      <c r="F324" s="6" t="n"/>
    </row>
    <row r="325">
      <c r="C325" s="5" t="n"/>
      <c r="E325" s="6" t="n"/>
      <c r="F325" s="6" t="n"/>
    </row>
    <row r="326">
      <c r="C326" s="5" t="n"/>
      <c r="E326" s="6" t="n"/>
      <c r="F326" s="6" t="n"/>
    </row>
    <row r="327">
      <c r="C327" s="5" t="n"/>
      <c r="E327" s="6" t="n"/>
      <c r="F327" s="6" t="n"/>
    </row>
    <row r="328">
      <c r="C328" s="5" t="n"/>
      <c r="E328" s="6" t="n"/>
      <c r="F328" s="6" t="n"/>
    </row>
    <row r="329">
      <c r="C329" s="5" t="n"/>
      <c r="E329" s="6" t="n"/>
      <c r="F329" s="6" t="n"/>
    </row>
    <row r="330">
      <c r="C330" s="5" t="n"/>
      <c r="E330" s="6" t="n"/>
      <c r="F330" s="6" t="n"/>
    </row>
    <row r="331">
      <c r="C331" s="5" t="n"/>
      <c r="E331" s="6" t="n"/>
      <c r="F331" s="6" t="n"/>
    </row>
    <row r="332">
      <c r="C332" s="5" t="n"/>
      <c r="E332" s="6" t="n"/>
      <c r="F332" s="6" t="n"/>
    </row>
    <row r="333">
      <c r="C333" s="5" t="n"/>
      <c r="E333" s="6" t="n"/>
      <c r="F333" s="6" t="n"/>
    </row>
    <row r="334">
      <c r="C334" s="5" t="n"/>
      <c r="E334" s="6" t="n"/>
      <c r="F334" s="6" t="n"/>
    </row>
    <row r="335">
      <c r="C335" s="5" t="n"/>
      <c r="E335" s="6" t="n"/>
      <c r="F335" s="6" t="n"/>
    </row>
    <row r="336">
      <c r="C336" s="5" t="n"/>
      <c r="E336" s="6" t="n"/>
      <c r="F336" s="6" t="n"/>
    </row>
    <row r="337">
      <c r="C337" s="5" t="n"/>
      <c r="E337" s="6" t="n"/>
      <c r="F337" s="6" t="n"/>
    </row>
    <row r="338">
      <c r="C338" s="5" t="n"/>
      <c r="E338" s="6" t="n"/>
      <c r="F338" s="6" t="n"/>
    </row>
    <row r="339">
      <c r="C339" s="5" t="n"/>
      <c r="E339" s="6" t="n"/>
      <c r="F339" s="6" t="n"/>
    </row>
    <row r="340">
      <c r="C340" s="5" t="n"/>
      <c r="E340" s="6" t="n"/>
      <c r="F340" s="6" t="n"/>
    </row>
    <row r="341">
      <c r="C341" s="5" t="n"/>
      <c r="E341" s="6" t="n"/>
      <c r="F341" s="6" t="n"/>
    </row>
    <row r="342">
      <c r="C342" s="5" t="n"/>
      <c r="E342" s="6" t="n"/>
      <c r="F342" s="6" t="n"/>
    </row>
    <row r="343">
      <c r="C343" s="5" t="n"/>
      <c r="E343" s="6" t="n"/>
      <c r="F343" s="6" t="n"/>
    </row>
    <row r="344">
      <c r="C344" s="5" t="n"/>
      <c r="E344" s="6" t="n"/>
      <c r="F344" s="6" t="n"/>
    </row>
    <row r="345">
      <c r="C345" s="5" t="n"/>
      <c r="E345" s="6" t="n"/>
      <c r="F345" s="6" t="n"/>
    </row>
    <row r="346">
      <c r="C346" s="5" t="n"/>
      <c r="E346" s="6" t="n"/>
      <c r="F346" s="6" t="n"/>
    </row>
    <row r="347">
      <c r="C347" s="5" t="n"/>
      <c r="E347" s="6" t="n"/>
      <c r="F347" s="6" t="n"/>
    </row>
    <row r="348">
      <c r="C348" s="5" t="n"/>
      <c r="E348" s="6" t="n"/>
      <c r="F348" s="6" t="n"/>
    </row>
    <row r="349">
      <c r="C349" s="5" t="n"/>
      <c r="E349" s="6" t="n"/>
      <c r="F349" s="6" t="n"/>
    </row>
    <row r="350">
      <c r="C350" s="5" t="n"/>
      <c r="E350" s="6" t="n"/>
      <c r="F350" s="6" t="n"/>
    </row>
    <row r="351">
      <c r="C351" s="5" t="n"/>
      <c r="E351" s="6" t="n"/>
      <c r="F351" s="6" t="n"/>
    </row>
    <row r="352">
      <c r="C352" s="5" t="n"/>
      <c r="E352" s="6" t="n"/>
      <c r="F352" s="6" t="n"/>
    </row>
    <row r="353">
      <c r="C353" s="5" t="n"/>
      <c r="E353" s="6" t="n"/>
      <c r="F353" s="6" t="n"/>
    </row>
    <row r="354">
      <c r="C354" s="5" t="n"/>
      <c r="E354" s="6" t="n"/>
      <c r="F354" s="6" t="n"/>
    </row>
    <row r="355">
      <c r="C355" s="5" t="n"/>
      <c r="E355" s="6" t="n"/>
      <c r="F355" s="6" t="n"/>
    </row>
    <row r="356">
      <c r="C356" s="5" t="n"/>
      <c r="E356" s="6" t="n"/>
      <c r="F356" s="6" t="n"/>
    </row>
    <row r="357">
      <c r="C357" s="5" t="n"/>
      <c r="E357" s="6" t="n"/>
      <c r="F357" s="6" t="n"/>
    </row>
    <row r="358">
      <c r="C358" s="5" t="n"/>
      <c r="E358" s="6" t="n"/>
      <c r="F358" s="6" t="n"/>
    </row>
    <row r="359">
      <c r="C359" s="5" t="n"/>
      <c r="E359" s="6" t="n"/>
      <c r="F359" s="6" t="n"/>
    </row>
    <row r="360">
      <c r="C360" s="5" t="n"/>
      <c r="E360" s="6" t="n"/>
      <c r="F360" s="6" t="n"/>
    </row>
    <row r="361">
      <c r="C361" s="5" t="n"/>
      <c r="E361" s="6" t="n"/>
      <c r="F361" s="6" t="n"/>
    </row>
    <row r="362">
      <c r="C362" s="5" t="n"/>
      <c r="E362" s="6" t="n"/>
      <c r="F362" s="6" t="n"/>
    </row>
    <row r="363">
      <c r="C363" s="5" t="n"/>
      <c r="E363" s="6" t="n"/>
      <c r="F363" s="6" t="n"/>
    </row>
    <row r="364">
      <c r="C364" s="5" t="n"/>
      <c r="E364" s="6" t="n"/>
      <c r="F364" s="6" t="n"/>
    </row>
    <row r="365">
      <c r="C365" s="5" t="n"/>
      <c r="E365" s="6" t="n"/>
      <c r="F365" s="6" t="n"/>
    </row>
    <row r="366">
      <c r="C366" s="5" t="n"/>
      <c r="E366" s="6" t="n"/>
      <c r="F366" s="6" t="n"/>
    </row>
    <row r="367">
      <c r="C367" s="5" t="n"/>
      <c r="E367" s="6" t="n"/>
      <c r="F367" s="6" t="n"/>
    </row>
    <row r="368">
      <c r="C368" s="5" t="n"/>
      <c r="E368" s="6" t="n"/>
      <c r="F368" s="6" t="n"/>
    </row>
    <row r="369">
      <c r="C369" s="5" t="n"/>
      <c r="E369" s="6" t="n"/>
      <c r="F369" s="6" t="n"/>
    </row>
    <row r="370">
      <c r="C370" s="5" t="n"/>
      <c r="E370" s="6" t="n"/>
      <c r="F370" s="6" t="n"/>
    </row>
    <row r="371">
      <c r="C371" s="5" t="n"/>
      <c r="E371" s="6" t="n"/>
      <c r="F371" s="6" t="n"/>
    </row>
    <row r="372">
      <c r="C372" s="5" t="n"/>
      <c r="E372" s="6" t="n"/>
      <c r="F372" s="6" t="n"/>
    </row>
    <row r="373">
      <c r="C373" s="5" t="n"/>
      <c r="E373" s="6" t="n"/>
      <c r="F373" s="6" t="n"/>
    </row>
    <row r="374">
      <c r="C374" s="5" t="n"/>
      <c r="E374" s="6" t="n"/>
      <c r="F374" s="6" t="n"/>
    </row>
    <row r="375">
      <c r="C375" s="5" t="n"/>
      <c r="E375" s="6" t="n"/>
      <c r="F375" s="6" t="n"/>
    </row>
    <row r="376">
      <c r="C376" s="5" t="n"/>
      <c r="E376" s="6" t="n"/>
      <c r="F376" s="6" t="n"/>
    </row>
    <row r="377">
      <c r="C377" s="5" t="n"/>
      <c r="E377" s="6" t="n"/>
      <c r="F377" s="6" t="n"/>
    </row>
    <row r="378">
      <c r="C378" s="5" t="n"/>
      <c r="E378" s="6" t="n"/>
      <c r="F378" s="6" t="n"/>
    </row>
    <row r="379">
      <c r="C379" s="5" t="n"/>
      <c r="E379" s="6" t="n"/>
      <c r="F379" s="6" t="n"/>
    </row>
    <row r="380">
      <c r="C380" s="5" t="n"/>
      <c r="E380" s="6" t="n"/>
      <c r="F380" s="6" t="n"/>
    </row>
    <row r="381">
      <c r="C381" s="5" t="n"/>
      <c r="E381" s="6" t="n"/>
      <c r="F381" s="6" t="n"/>
    </row>
    <row r="382">
      <c r="C382" s="5" t="n"/>
      <c r="E382" s="6" t="n"/>
      <c r="F382" s="6" t="n"/>
    </row>
    <row r="383">
      <c r="C383" s="5" t="n"/>
      <c r="E383" s="6" t="n"/>
      <c r="F383" s="6" t="n"/>
    </row>
    <row r="384">
      <c r="C384" s="5" t="n"/>
      <c r="E384" s="6" t="n"/>
      <c r="F384" s="6" t="n"/>
    </row>
    <row r="385">
      <c r="C385" s="5" t="n"/>
      <c r="E385" s="6" t="n"/>
      <c r="F385" s="6" t="n"/>
    </row>
    <row r="386">
      <c r="C386" s="5" t="n"/>
      <c r="E386" s="6" t="n"/>
      <c r="F386" s="6" t="n"/>
    </row>
    <row r="387">
      <c r="C387" s="5" t="n"/>
      <c r="E387" s="6" t="n"/>
      <c r="F387" s="6" t="n"/>
    </row>
    <row r="388">
      <c r="C388" s="5" t="n"/>
      <c r="E388" s="6" t="n"/>
      <c r="F388" s="6" t="n"/>
    </row>
    <row r="389">
      <c r="C389" s="5" t="n"/>
      <c r="E389" s="6" t="n"/>
      <c r="F389" s="6" t="n"/>
    </row>
    <row r="390">
      <c r="C390" s="5" t="n"/>
      <c r="E390" s="6" t="n"/>
      <c r="F390" s="6" t="n"/>
    </row>
    <row r="391">
      <c r="C391" s="5" t="n"/>
      <c r="E391" s="6" t="n"/>
      <c r="F391" s="6" t="n"/>
    </row>
    <row r="392">
      <c r="C392" s="5" t="n"/>
      <c r="E392" s="6" t="n"/>
      <c r="F392" s="6" t="n"/>
    </row>
    <row r="393">
      <c r="C393" s="5" t="n"/>
      <c r="E393" s="6" t="n"/>
      <c r="F393" s="6" t="n"/>
    </row>
    <row r="394">
      <c r="C394" s="5" t="n"/>
      <c r="E394" s="6" t="n"/>
      <c r="F394" s="6" t="n"/>
    </row>
    <row r="395">
      <c r="C395" s="5" t="n"/>
      <c r="E395" s="6" t="n"/>
      <c r="F395" s="6" t="n"/>
    </row>
    <row r="396">
      <c r="C396" s="5" t="n"/>
      <c r="E396" s="6" t="n"/>
      <c r="F396" s="6" t="n"/>
    </row>
    <row r="397">
      <c r="C397" s="5" t="n"/>
      <c r="E397" s="6" t="n"/>
      <c r="F397" s="6" t="n"/>
    </row>
    <row r="398">
      <c r="C398" s="5" t="n"/>
      <c r="E398" s="6" t="n"/>
      <c r="F398" s="6" t="n"/>
    </row>
    <row r="399">
      <c r="C399" s="5" t="n"/>
      <c r="E399" s="6" t="n"/>
      <c r="F399" s="6" t="n"/>
    </row>
    <row r="400">
      <c r="C400" s="5" t="n"/>
      <c r="E400" s="6" t="n"/>
      <c r="F400" s="6" t="n"/>
    </row>
    <row r="401">
      <c r="C401" s="5" t="n"/>
      <c r="E401" s="6" t="n"/>
      <c r="F401" s="6" t="n"/>
    </row>
    <row r="402">
      <c r="C402" s="5" t="n"/>
      <c r="E402" s="6" t="n"/>
      <c r="F402" s="6" t="n"/>
    </row>
    <row r="403">
      <c r="C403" s="5" t="n"/>
      <c r="E403" s="6" t="n"/>
      <c r="F403" s="6" t="n"/>
    </row>
    <row r="404">
      <c r="C404" s="5" t="n"/>
      <c r="E404" s="6" t="n"/>
      <c r="F404" s="6" t="n"/>
    </row>
    <row r="405">
      <c r="C405" s="5" t="n"/>
      <c r="E405" s="6" t="n"/>
      <c r="F405" s="6" t="n"/>
    </row>
    <row r="406">
      <c r="C406" s="5" t="n"/>
      <c r="E406" s="6" t="n"/>
      <c r="F406" s="6" t="n"/>
    </row>
    <row r="407">
      <c r="C407" s="5" t="n"/>
      <c r="E407" s="6" t="n"/>
      <c r="F407" s="6" t="n"/>
    </row>
    <row r="408">
      <c r="C408" s="5" t="n"/>
      <c r="E408" s="6" t="n"/>
      <c r="F408" s="6" t="n"/>
    </row>
    <row r="409">
      <c r="C409" s="5" t="n"/>
      <c r="E409" s="6" t="n"/>
      <c r="F409" s="6" t="n"/>
    </row>
    <row r="410">
      <c r="C410" s="5" t="n"/>
      <c r="E410" s="6" t="n"/>
      <c r="F410" s="6" t="n"/>
    </row>
    <row r="411">
      <c r="C411" s="5" t="n"/>
      <c r="E411" s="6" t="n"/>
      <c r="F411" s="6" t="n"/>
    </row>
    <row r="412">
      <c r="C412" s="5" t="n"/>
      <c r="E412" s="6" t="n"/>
      <c r="F412" s="6" t="n"/>
    </row>
    <row r="413">
      <c r="C413" s="5" t="n"/>
      <c r="E413" s="6" t="n"/>
      <c r="F413" s="6" t="n"/>
    </row>
    <row r="414">
      <c r="C414" s="5" t="n"/>
      <c r="E414" s="6" t="n"/>
      <c r="F414" s="6" t="n"/>
    </row>
    <row r="415">
      <c r="C415" s="5" t="n"/>
      <c r="E415" s="6" t="n"/>
      <c r="F415" s="6" t="n"/>
    </row>
    <row r="416">
      <c r="C416" s="5" t="n"/>
      <c r="E416" s="6" t="n"/>
      <c r="F416" s="6" t="n"/>
    </row>
    <row r="417">
      <c r="C417" s="5" t="n"/>
      <c r="E417" s="6" t="n"/>
      <c r="F417" s="6" t="n"/>
    </row>
    <row r="418">
      <c r="C418" s="5" t="n"/>
      <c r="E418" s="6" t="n"/>
      <c r="F418" s="6" t="n"/>
    </row>
    <row r="419">
      <c r="C419" s="5" t="n"/>
      <c r="E419" s="6" t="n"/>
      <c r="F419" s="6" t="n"/>
    </row>
    <row r="420">
      <c r="C420" s="5" t="n"/>
      <c r="E420" s="6" t="n"/>
      <c r="F420" s="6" t="n"/>
    </row>
    <row r="421">
      <c r="C421" s="5" t="n"/>
      <c r="E421" s="6" t="n"/>
      <c r="F421" s="6" t="n"/>
    </row>
    <row r="422">
      <c r="C422" s="5" t="n"/>
      <c r="E422" s="6" t="n"/>
      <c r="F422" s="6" t="n"/>
    </row>
    <row r="423">
      <c r="C423" s="5" t="n"/>
      <c r="E423" s="6" t="n"/>
      <c r="F423" s="6" t="n"/>
    </row>
    <row r="424">
      <c r="C424" s="5" t="n"/>
      <c r="E424" s="6" t="n"/>
      <c r="F424" s="6" t="n"/>
    </row>
    <row r="425">
      <c r="C425" s="5" t="n"/>
      <c r="E425" s="6" t="n"/>
      <c r="F425" s="6" t="n"/>
    </row>
    <row r="426">
      <c r="C426" s="5" t="n"/>
      <c r="E426" s="6" t="n"/>
      <c r="F426" s="6" t="n"/>
    </row>
    <row r="427">
      <c r="C427" s="5" t="n"/>
      <c r="E427" s="6" t="n"/>
      <c r="F427" s="6" t="n"/>
    </row>
    <row r="428">
      <c r="C428" s="5" t="n"/>
      <c r="E428" s="6" t="n"/>
      <c r="F428" s="6" t="n"/>
    </row>
    <row r="429">
      <c r="C429" s="5" t="n"/>
      <c r="E429" s="6" t="n"/>
      <c r="F429" s="6" t="n"/>
    </row>
    <row r="430">
      <c r="C430" s="5" t="n"/>
      <c r="E430" s="6" t="n"/>
      <c r="F430" s="6" t="n"/>
    </row>
    <row r="431">
      <c r="C431" s="5" t="n"/>
      <c r="E431" s="6" t="n"/>
      <c r="F431" s="6" t="n"/>
    </row>
    <row r="432">
      <c r="C432" s="5" t="n"/>
      <c r="E432" s="6" t="n"/>
      <c r="F432" s="6" t="n"/>
    </row>
    <row r="433">
      <c r="C433" s="5" t="n"/>
      <c r="E433" s="6" t="n"/>
      <c r="F433" s="6" t="n"/>
    </row>
    <row r="434">
      <c r="C434" s="5" t="n"/>
      <c r="E434" s="6" t="n"/>
      <c r="F434" s="6" t="n"/>
    </row>
    <row r="435">
      <c r="C435" s="5" t="n"/>
      <c r="E435" s="6" t="n"/>
      <c r="F435" s="6" t="n"/>
    </row>
    <row r="436">
      <c r="C436" s="5" t="n"/>
      <c r="E436" s="6" t="n"/>
      <c r="F436" s="6" t="n"/>
    </row>
    <row r="437">
      <c r="C437" s="5" t="n"/>
      <c r="E437" s="6" t="n"/>
      <c r="F437" s="6" t="n"/>
    </row>
    <row r="438">
      <c r="C438" s="5" t="n"/>
      <c r="E438" s="6" t="n"/>
      <c r="F438" s="6" t="n"/>
    </row>
    <row r="439">
      <c r="C439" s="5" t="n"/>
      <c r="E439" s="6" t="n"/>
      <c r="F439" s="6" t="n"/>
    </row>
    <row r="440">
      <c r="C440" s="5" t="n"/>
      <c r="E440" s="6" t="n"/>
      <c r="F440" s="6" t="n"/>
    </row>
    <row r="441">
      <c r="C441" s="5" t="n"/>
      <c r="E441" s="6" t="n"/>
      <c r="F441" s="6" t="n"/>
    </row>
    <row r="442">
      <c r="C442" s="5" t="n"/>
      <c r="E442" s="6" t="n"/>
      <c r="F442" s="6" t="n"/>
    </row>
    <row r="443">
      <c r="C443" s="5" t="n"/>
      <c r="E443" s="6" t="n"/>
      <c r="F443" s="6" t="n"/>
    </row>
    <row r="444">
      <c r="C444" s="5" t="n"/>
      <c r="E444" s="6" t="n"/>
      <c r="F444" s="6" t="n"/>
    </row>
    <row r="445">
      <c r="C445" s="5" t="n"/>
      <c r="E445" s="6" t="n"/>
      <c r="F445" s="6" t="n"/>
    </row>
    <row r="446">
      <c r="C446" s="5" t="n"/>
      <c r="E446" s="6" t="n"/>
      <c r="F446" s="6" t="n"/>
    </row>
    <row r="447">
      <c r="C447" s="5" t="n"/>
      <c r="E447" s="6" t="n"/>
      <c r="F447" s="6" t="n"/>
    </row>
    <row r="448">
      <c r="C448" s="5" t="n"/>
      <c r="E448" s="6" t="n"/>
      <c r="F448" s="6" t="n"/>
    </row>
    <row r="449">
      <c r="C449" s="5" t="n"/>
      <c r="E449" s="6" t="n"/>
      <c r="F449" s="6" t="n"/>
    </row>
    <row r="450">
      <c r="C450" s="5" t="n"/>
      <c r="E450" s="6" t="n"/>
      <c r="F450" s="6" t="n"/>
    </row>
    <row r="451">
      <c r="C451" s="5" t="n"/>
      <c r="E451" s="6" t="n"/>
      <c r="F451" s="6" t="n"/>
    </row>
    <row r="452">
      <c r="C452" s="5" t="n"/>
      <c r="E452" s="6" t="n"/>
      <c r="F452" s="6" t="n"/>
    </row>
    <row r="453">
      <c r="C453" s="5" t="n"/>
      <c r="E453" s="6" t="n"/>
      <c r="F453" s="6" t="n"/>
    </row>
    <row r="454">
      <c r="C454" s="5" t="n"/>
      <c r="E454" s="6" t="n"/>
      <c r="F454" s="6" t="n"/>
    </row>
    <row r="455">
      <c r="C455" s="5" t="n"/>
      <c r="E455" s="6" t="n"/>
      <c r="F455" s="6" t="n"/>
    </row>
    <row r="456">
      <c r="C456" s="5" t="n"/>
      <c r="E456" s="6" t="n"/>
      <c r="F456" s="6" t="n"/>
    </row>
    <row r="457">
      <c r="C457" s="5" t="n"/>
      <c r="E457" s="6" t="n"/>
      <c r="F457" s="6" t="n"/>
    </row>
    <row r="458">
      <c r="C458" s="5" t="n"/>
      <c r="E458" s="6" t="n"/>
      <c r="F458" s="6" t="n"/>
    </row>
    <row r="459">
      <c r="C459" s="5" t="n"/>
      <c r="E459" s="6" t="n"/>
      <c r="F459" s="6" t="n"/>
    </row>
    <row r="460">
      <c r="C460" s="5" t="n"/>
      <c r="E460" s="6" t="n"/>
      <c r="F460" s="6" t="n"/>
    </row>
    <row r="461">
      <c r="C461" s="5" t="n"/>
      <c r="E461" s="6" t="n"/>
      <c r="F461" s="6" t="n"/>
    </row>
    <row r="462">
      <c r="C462" s="5" t="n"/>
      <c r="E462" s="6" t="n"/>
      <c r="F462" s="6" t="n"/>
    </row>
    <row r="463">
      <c r="C463" s="5" t="n"/>
      <c r="E463" s="6" t="n"/>
      <c r="F463" s="6" t="n"/>
    </row>
    <row r="464">
      <c r="C464" s="5" t="n"/>
      <c r="E464" s="6" t="n"/>
      <c r="F464" s="6" t="n"/>
    </row>
    <row r="465">
      <c r="C465" s="5" t="n"/>
      <c r="E465" s="6" t="n"/>
      <c r="F465" s="6" t="n"/>
    </row>
    <row r="466">
      <c r="C466" s="5" t="n"/>
      <c r="E466" s="6" t="n"/>
      <c r="F466" s="6" t="n"/>
    </row>
    <row r="467">
      <c r="C467" s="5" t="n"/>
      <c r="E467" s="6" t="n"/>
      <c r="F467" s="6" t="n"/>
    </row>
    <row r="468">
      <c r="C468" s="5" t="n"/>
      <c r="E468" s="6" t="n"/>
      <c r="F468" s="6" t="n"/>
    </row>
    <row r="469">
      <c r="C469" s="5" t="n"/>
      <c r="E469" s="6" t="n"/>
      <c r="F469" s="6" t="n"/>
    </row>
    <row r="470">
      <c r="C470" s="5" t="n"/>
      <c r="E470" s="6" t="n"/>
      <c r="F470" s="6" t="n"/>
    </row>
    <row r="471">
      <c r="C471" s="5" t="n"/>
      <c r="E471" s="6" t="n"/>
      <c r="F471" s="6" t="n"/>
    </row>
    <row r="472">
      <c r="C472" s="5" t="n"/>
      <c r="E472" s="6" t="n"/>
      <c r="F472" s="6" t="n"/>
    </row>
    <row r="473">
      <c r="C473" s="5" t="n"/>
      <c r="E473" s="6" t="n"/>
      <c r="F473" s="6" t="n"/>
    </row>
    <row r="474">
      <c r="C474" s="5" t="n"/>
      <c r="E474" s="6" t="n"/>
      <c r="F474" s="6" t="n"/>
    </row>
    <row r="475">
      <c r="C475" s="5" t="n"/>
      <c r="E475" s="6" t="n"/>
      <c r="F475" s="6" t="n"/>
    </row>
    <row r="476">
      <c r="C476" s="5" t="n"/>
      <c r="E476" s="6" t="n"/>
      <c r="F476" s="6" t="n"/>
    </row>
    <row r="477">
      <c r="C477" s="5" t="n"/>
      <c r="E477" s="6" t="n"/>
      <c r="F477" s="6" t="n"/>
    </row>
    <row r="478">
      <c r="C478" s="5" t="n"/>
      <c r="E478" s="6" t="n"/>
      <c r="F478" s="6" t="n"/>
    </row>
    <row r="479">
      <c r="C479" s="5" t="n"/>
      <c r="E479" s="6" t="n"/>
      <c r="F479" s="6" t="n"/>
    </row>
    <row r="480">
      <c r="C480" s="5" t="n"/>
      <c r="E480" s="6" t="n"/>
      <c r="F480" s="6" t="n"/>
    </row>
    <row r="481">
      <c r="C481" s="5" t="n"/>
      <c r="E481" s="6" t="n"/>
      <c r="F481" s="6" t="n"/>
    </row>
    <row r="482">
      <c r="C482" s="5" t="n"/>
      <c r="E482" s="6" t="n"/>
      <c r="F482" s="6" t="n"/>
    </row>
    <row r="483">
      <c r="C483" s="5" t="n"/>
      <c r="E483" s="6" t="n"/>
      <c r="F483" s="6" t="n"/>
    </row>
    <row r="484">
      <c r="C484" s="5" t="n"/>
      <c r="E484" s="6" t="n"/>
      <c r="F484" s="6" t="n"/>
    </row>
    <row r="485">
      <c r="C485" s="5" t="n"/>
      <c r="E485" s="6" t="n"/>
      <c r="F485" s="6" t="n"/>
    </row>
    <row r="486">
      <c r="C486" s="5" t="n"/>
      <c r="E486" s="6" t="n"/>
      <c r="F486" s="6" t="n"/>
    </row>
    <row r="487">
      <c r="C487" s="5" t="n"/>
      <c r="E487" s="6" t="n"/>
      <c r="F487" s="6" t="n"/>
    </row>
    <row r="488">
      <c r="C488" s="5" t="n"/>
      <c r="E488" s="6" t="n"/>
      <c r="F488" s="6" t="n"/>
    </row>
    <row r="489">
      <c r="C489" s="5" t="n"/>
      <c r="E489" s="6" t="n"/>
      <c r="F489" s="6" t="n"/>
    </row>
    <row r="490">
      <c r="C490" s="5" t="n"/>
      <c r="E490" s="6" t="n"/>
      <c r="F490" s="6" t="n"/>
    </row>
    <row r="491">
      <c r="C491" s="5" t="n"/>
      <c r="E491" s="6" t="n"/>
      <c r="F491" s="6" t="n"/>
    </row>
    <row r="492">
      <c r="C492" s="5" t="n"/>
      <c r="E492" s="6" t="n"/>
      <c r="F492" s="6" t="n"/>
    </row>
    <row r="493">
      <c r="C493" s="5" t="n"/>
      <c r="E493" s="6" t="n"/>
      <c r="F493" s="6" t="n"/>
    </row>
    <row r="494">
      <c r="C494" s="5" t="n"/>
      <c r="E494" s="6" t="n"/>
      <c r="F494" s="6" t="n"/>
    </row>
    <row r="495">
      <c r="C495" s="5" t="n"/>
      <c r="E495" s="6" t="n"/>
      <c r="F495" s="6" t="n"/>
    </row>
    <row r="496">
      <c r="C496" s="5" t="n"/>
      <c r="E496" s="6" t="n"/>
      <c r="F496" s="6" t="n"/>
    </row>
    <row r="497">
      <c r="C497" s="5" t="n"/>
      <c r="E497" s="6" t="n"/>
      <c r="F497" s="6" t="n"/>
    </row>
    <row r="498">
      <c r="C498" s="5" t="n"/>
      <c r="E498" s="6" t="n"/>
      <c r="F498" s="6" t="n"/>
    </row>
    <row r="499">
      <c r="C499" s="5" t="n"/>
      <c r="E499" s="6" t="n"/>
      <c r="F499" s="6" t="n"/>
    </row>
    <row r="500">
      <c r="C500" s="5" t="n"/>
      <c r="E500" s="6" t="n"/>
      <c r="F500" s="6" t="n"/>
    </row>
    <row r="501">
      <c r="C501" s="5" t="n"/>
      <c r="E501" s="6" t="n"/>
      <c r="F501" s="6" t="n"/>
    </row>
    <row r="502">
      <c r="C502" s="5" t="n"/>
      <c r="E502" s="6" t="n"/>
      <c r="F502" s="6" t="n"/>
    </row>
    <row r="503">
      <c r="C503" s="5" t="n"/>
      <c r="E503" s="6" t="n"/>
      <c r="F503" s="6" t="n"/>
    </row>
    <row r="504">
      <c r="C504" s="5" t="n"/>
      <c r="E504" s="6" t="n"/>
      <c r="F504" s="6" t="n"/>
    </row>
    <row r="505">
      <c r="C505" s="5" t="n"/>
      <c r="E505" s="6" t="n"/>
      <c r="F505" s="6" t="n"/>
    </row>
    <row r="506">
      <c r="C506" s="5" t="n"/>
      <c r="E506" s="6" t="n"/>
      <c r="F506" s="6" t="n"/>
    </row>
    <row r="507">
      <c r="C507" s="5" t="n"/>
      <c r="E507" s="6" t="n"/>
      <c r="F507" s="6" t="n"/>
    </row>
    <row r="508">
      <c r="C508" s="5" t="n"/>
      <c r="E508" s="6" t="n"/>
      <c r="F508" s="6" t="n"/>
    </row>
    <row r="509">
      <c r="C509" s="5" t="n"/>
      <c r="E509" s="6" t="n"/>
      <c r="F509" s="6" t="n"/>
    </row>
    <row r="510">
      <c r="C510" s="5" t="n"/>
      <c r="E510" s="6" t="n"/>
      <c r="F510" s="6" t="n"/>
    </row>
    <row r="511">
      <c r="C511" s="5" t="n"/>
      <c r="E511" s="6" t="n"/>
      <c r="F511" s="6" t="n"/>
    </row>
    <row r="512">
      <c r="C512" s="5" t="n"/>
      <c r="E512" s="6" t="n"/>
      <c r="F512" s="6" t="n"/>
    </row>
    <row r="513">
      <c r="C513" s="5" t="n"/>
      <c r="E513" s="6" t="n"/>
      <c r="F513" s="6" t="n"/>
    </row>
    <row r="514">
      <c r="C514" s="5" t="n"/>
      <c r="E514" s="6" t="n"/>
      <c r="F514" s="6" t="n"/>
    </row>
    <row r="515">
      <c r="C515" s="5" t="n"/>
      <c r="E515" s="6" t="n"/>
      <c r="F515" s="6" t="n"/>
    </row>
    <row r="516">
      <c r="C516" s="5" t="n"/>
      <c r="E516" s="6" t="n"/>
      <c r="F516" s="6" t="n"/>
    </row>
    <row r="517">
      <c r="C517" s="5" t="n"/>
      <c r="E517" s="6" t="n"/>
      <c r="F517" s="6" t="n"/>
    </row>
    <row r="518">
      <c r="C518" s="5" t="n"/>
      <c r="E518" s="6" t="n"/>
      <c r="F518" s="6" t="n"/>
    </row>
    <row r="519">
      <c r="C519" s="5" t="n"/>
      <c r="E519" s="6" t="n"/>
      <c r="F519" s="6" t="n"/>
    </row>
    <row r="520">
      <c r="C520" s="5" t="n"/>
      <c r="E520" s="6" t="n"/>
      <c r="F520" s="6" t="n"/>
    </row>
    <row r="521">
      <c r="C521" s="5" t="n"/>
      <c r="E521" s="6" t="n"/>
      <c r="F521" s="6" t="n"/>
    </row>
    <row r="522">
      <c r="C522" s="5" t="n"/>
      <c r="E522" s="6" t="n"/>
      <c r="F522" s="6" t="n"/>
    </row>
    <row r="523">
      <c r="C523" s="5" t="n"/>
      <c r="E523" s="6" t="n"/>
      <c r="F523" s="6" t="n"/>
    </row>
    <row r="524">
      <c r="C524" s="5" t="n"/>
      <c r="E524" s="6" t="n"/>
      <c r="F524" s="6" t="n"/>
    </row>
    <row r="525">
      <c r="C525" s="5" t="n"/>
      <c r="E525" s="6" t="n"/>
      <c r="F525" s="6" t="n"/>
    </row>
    <row r="526">
      <c r="C526" s="5" t="n"/>
      <c r="E526" s="6" t="n"/>
      <c r="F526" s="6" t="n"/>
    </row>
    <row r="527">
      <c r="C527" s="5" t="n"/>
      <c r="E527" s="6" t="n"/>
      <c r="F527" s="6" t="n"/>
    </row>
    <row r="528">
      <c r="C528" s="5" t="n"/>
      <c r="E528" s="6" t="n"/>
      <c r="F528" s="6" t="n"/>
    </row>
    <row r="529">
      <c r="C529" s="5" t="n"/>
      <c r="E529" s="6" t="n"/>
      <c r="F529" s="6" t="n"/>
    </row>
    <row r="530">
      <c r="C530" s="5" t="n"/>
      <c r="E530" s="6" t="n"/>
      <c r="F530" s="6" t="n"/>
    </row>
    <row r="531">
      <c r="C531" s="5" t="n"/>
      <c r="E531" s="6" t="n"/>
      <c r="F531" s="6" t="n"/>
    </row>
    <row r="532">
      <c r="C532" s="5" t="n"/>
      <c r="E532" s="6" t="n"/>
      <c r="F532" s="6" t="n"/>
    </row>
    <row r="533">
      <c r="C533" s="5" t="n"/>
      <c r="E533" s="6" t="n"/>
      <c r="F533" s="6" t="n"/>
    </row>
    <row r="534">
      <c r="C534" s="5" t="n"/>
      <c r="E534" s="6" t="n"/>
      <c r="F534" s="6" t="n"/>
    </row>
    <row r="535">
      <c r="C535" s="5" t="n"/>
      <c r="E535" s="6" t="n"/>
      <c r="F535" s="6" t="n"/>
    </row>
    <row r="536">
      <c r="C536" s="5" t="n"/>
      <c r="E536" s="6" t="n"/>
      <c r="F536" s="6" t="n"/>
    </row>
    <row r="537">
      <c r="C537" s="5" t="n"/>
      <c r="E537" s="6" t="n"/>
      <c r="F537" s="6" t="n"/>
    </row>
    <row r="538">
      <c r="C538" s="5" t="n"/>
      <c r="E538" s="6" t="n"/>
      <c r="F538" s="6" t="n"/>
    </row>
    <row r="539">
      <c r="C539" s="5" t="n"/>
      <c r="E539" s="6" t="n"/>
      <c r="F539" s="6" t="n"/>
    </row>
    <row r="540">
      <c r="C540" s="5" t="n"/>
      <c r="E540" s="6" t="n"/>
      <c r="F540" s="6" t="n"/>
    </row>
    <row r="541">
      <c r="C541" s="5" t="n"/>
      <c r="E541" s="6" t="n"/>
      <c r="F541" s="6" t="n"/>
    </row>
    <row r="542">
      <c r="C542" s="5" t="n"/>
      <c r="E542" s="6" t="n"/>
      <c r="F542" s="6" t="n"/>
    </row>
    <row r="543">
      <c r="C543" s="5" t="n"/>
      <c r="E543" s="6" t="n"/>
      <c r="F543" s="6" t="n"/>
    </row>
    <row r="544">
      <c r="C544" s="5" t="n"/>
      <c r="E544" s="6" t="n"/>
      <c r="F544" s="6" t="n"/>
    </row>
    <row r="545">
      <c r="C545" s="5" t="n"/>
      <c r="E545" s="6" t="n"/>
      <c r="F545" s="6" t="n"/>
    </row>
    <row r="546">
      <c r="C546" s="5" t="n"/>
      <c r="E546" s="6" t="n"/>
      <c r="F546" s="6" t="n"/>
    </row>
    <row r="547">
      <c r="C547" s="5" t="n"/>
      <c r="E547" s="6" t="n"/>
      <c r="F547" s="6" t="n"/>
    </row>
    <row r="548">
      <c r="C548" s="5" t="n"/>
      <c r="E548" s="6" t="n"/>
      <c r="F548" s="6" t="n"/>
    </row>
    <row r="549">
      <c r="C549" s="5" t="n"/>
      <c r="E549" s="6" t="n"/>
      <c r="F549" s="6" t="n"/>
    </row>
    <row r="550">
      <c r="C550" s="5" t="n"/>
      <c r="E550" s="6" t="n"/>
      <c r="F550" s="6" t="n"/>
    </row>
    <row r="551">
      <c r="C551" s="5" t="n"/>
      <c r="E551" s="6" t="n"/>
      <c r="F551" s="6" t="n"/>
    </row>
    <row r="552">
      <c r="C552" s="5" t="n"/>
      <c r="E552" s="6" t="n"/>
      <c r="F552" s="6" t="n"/>
    </row>
    <row r="553">
      <c r="C553" s="5" t="n"/>
      <c r="E553" s="6" t="n"/>
      <c r="F553" s="6" t="n"/>
    </row>
    <row r="554">
      <c r="C554" s="5" t="n"/>
      <c r="E554" s="6" t="n"/>
      <c r="F554" s="6" t="n"/>
    </row>
    <row r="555">
      <c r="C555" s="5" t="n"/>
      <c r="E555" s="6" t="n"/>
      <c r="F555" s="6" t="n"/>
    </row>
    <row r="556">
      <c r="C556" s="5" t="n"/>
      <c r="E556" s="6" t="n"/>
      <c r="F556" s="6" t="n"/>
    </row>
    <row r="557">
      <c r="C557" s="5" t="n"/>
      <c r="E557" s="6" t="n"/>
      <c r="F557" s="6" t="n"/>
    </row>
    <row r="558">
      <c r="C558" s="5" t="n"/>
      <c r="E558" s="6" t="n"/>
      <c r="F558" s="6" t="n"/>
    </row>
    <row r="559">
      <c r="C559" s="5" t="n"/>
      <c r="E559" s="6" t="n"/>
      <c r="F559" s="6" t="n"/>
    </row>
    <row r="560">
      <c r="C560" s="5" t="n"/>
      <c r="E560" s="6" t="n"/>
      <c r="F560" s="6" t="n"/>
    </row>
    <row r="561">
      <c r="C561" s="5" t="n"/>
      <c r="E561" s="6" t="n"/>
      <c r="F561" s="6" t="n"/>
    </row>
    <row r="562">
      <c r="C562" s="5" t="n"/>
      <c r="E562" s="6" t="n"/>
      <c r="F562" s="6" t="n"/>
    </row>
    <row r="563">
      <c r="C563" s="5" t="n"/>
      <c r="E563" s="6" t="n"/>
      <c r="F563" s="6" t="n"/>
    </row>
    <row r="564">
      <c r="C564" s="5" t="n"/>
      <c r="E564" s="6" t="n"/>
      <c r="F564" s="6" t="n"/>
    </row>
    <row r="565">
      <c r="C565" s="5" t="n"/>
      <c r="E565" s="6" t="n"/>
      <c r="F565" s="6" t="n"/>
    </row>
    <row r="566">
      <c r="C566" s="5" t="n"/>
      <c r="E566" s="6" t="n"/>
      <c r="F566" s="6" t="n"/>
    </row>
    <row r="567">
      <c r="C567" s="5" t="n"/>
      <c r="E567" s="6" t="n"/>
      <c r="F567" s="6" t="n"/>
    </row>
    <row r="568">
      <c r="C568" s="5" t="n"/>
      <c r="E568" s="6" t="n"/>
      <c r="F568" s="6" t="n"/>
    </row>
    <row r="569">
      <c r="C569" s="5" t="n"/>
      <c r="E569" s="6" t="n"/>
      <c r="F569" s="6" t="n"/>
    </row>
    <row r="570">
      <c r="C570" s="5" t="n"/>
      <c r="E570" s="6" t="n"/>
      <c r="F570" s="6" t="n"/>
    </row>
    <row r="571">
      <c r="C571" s="5" t="n"/>
      <c r="E571" s="6" t="n"/>
      <c r="F571" s="6" t="n"/>
    </row>
    <row r="572">
      <c r="C572" s="5" t="n"/>
      <c r="E572" s="6" t="n"/>
      <c r="F572" s="6" t="n"/>
    </row>
    <row r="573">
      <c r="C573" s="5" t="n"/>
      <c r="E573" s="6" t="n"/>
      <c r="F573" s="6" t="n"/>
    </row>
    <row r="574">
      <c r="C574" s="5" t="n"/>
      <c r="E574" s="6" t="n"/>
      <c r="F574" s="6" t="n"/>
    </row>
    <row r="575">
      <c r="C575" s="5" t="n"/>
      <c r="E575" s="6" t="n"/>
      <c r="F575" s="6" t="n"/>
    </row>
    <row r="576">
      <c r="C576" s="5" t="n"/>
      <c r="E576" s="6" t="n"/>
      <c r="F576" s="6" t="n"/>
    </row>
    <row r="577">
      <c r="C577" s="5" t="n"/>
      <c r="E577" s="6" t="n"/>
      <c r="F577" s="6" t="n"/>
    </row>
    <row r="578">
      <c r="C578" s="5" t="n"/>
      <c r="E578" s="6" t="n"/>
      <c r="F578" s="6" t="n"/>
    </row>
    <row r="579">
      <c r="C579" s="5" t="n"/>
      <c r="E579" s="6" t="n"/>
      <c r="F579" s="6" t="n"/>
    </row>
    <row r="580">
      <c r="C580" s="5" t="n"/>
      <c r="E580" s="6" t="n"/>
      <c r="F580" s="6" t="n"/>
    </row>
    <row r="581">
      <c r="C581" s="5" t="n"/>
      <c r="E581" s="6" t="n"/>
      <c r="F581" s="6" t="n"/>
    </row>
    <row r="582">
      <c r="C582" s="5" t="n"/>
      <c r="E582" s="6" t="n"/>
      <c r="F582" s="6" t="n"/>
    </row>
    <row r="583">
      <c r="C583" s="5" t="n"/>
      <c r="E583" s="6" t="n"/>
      <c r="F583" s="6" t="n"/>
    </row>
    <row r="584">
      <c r="C584" s="5" t="n"/>
      <c r="E584" s="6" t="n"/>
      <c r="F584" s="6" t="n"/>
    </row>
    <row r="585">
      <c r="C585" s="5" t="n"/>
      <c r="E585" s="6" t="n"/>
      <c r="F585" s="6" t="n"/>
    </row>
    <row r="586">
      <c r="C586" s="5" t="n"/>
      <c r="E586" s="6" t="n"/>
      <c r="F586" s="6" t="n"/>
    </row>
    <row r="587">
      <c r="C587" s="5" t="n"/>
      <c r="E587" s="6" t="n"/>
      <c r="F587" s="6" t="n"/>
    </row>
    <row r="588">
      <c r="C588" s="5" t="n"/>
      <c r="E588" s="6" t="n"/>
      <c r="F588" s="6" t="n"/>
    </row>
    <row r="589">
      <c r="C589" s="5" t="n"/>
      <c r="E589" s="6" t="n"/>
      <c r="F589" s="6" t="n"/>
    </row>
    <row r="590">
      <c r="C590" s="5" t="n"/>
      <c r="E590" s="6" t="n"/>
      <c r="F590" s="6" t="n"/>
    </row>
    <row r="591">
      <c r="C591" s="5" t="n"/>
      <c r="E591" s="6" t="n"/>
      <c r="F591" s="6" t="n"/>
    </row>
    <row r="592">
      <c r="C592" s="5" t="n"/>
      <c r="E592" s="6" t="n"/>
      <c r="F592" s="6" t="n"/>
    </row>
    <row r="593">
      <c r="C593" s="5" t="n"/>
      <c r="E593" s="6" t="n"/>
      <c r="F593" s="6" t="n"/>
    </row>
    <row r="594">
      <c r="C594" s="5" t="n"/>
      <c r="E594" s="6" t="n"/>
      <c r="F594" s="6" t="n"/>
    </row>
    <row r="595">
      <c r="C595" s="5" t="n"/>
      <c r="E595" s="6" t="n"/>
      <c r="F595" s="6" t="n"/>
    </row>
    <row r="596">
      <c r="C596" s="5" t="n"/>
      <c r="E596" s="6" t="n"/>
      <c r="F596" s="6" t="n"/>
    </row>
    <row r="597">
      <c r="C597" s="5" t="n"/>
      <c r="E597" s="6" t="n"/>
      <c r="F597" s="6" t="n"/>
    </row>
    <row r="598">
      <c r="C598" s="5" t="n"/>
      <c r="E598" s="6" t="n"/>
      <c r="F598" s="6" t="n"/>
    </row>
    <row r="599">
      <c r="C599" s="5" t="n"/>
      <c r="E599" s="6" t="n"/>
      <c r="F599" s="6" t="n"/>
    </row>
    <row r="600">
      <c r="C600" s="5" t="n"/>
      <c r="E600" s="6" t="n"/>
      <c r="F600" s="6" t="n"/>
    </row>
    <row r="601">
      <c r="C601" s="5" t="n"/>
      <c r="E601" s="6" t="n"/>
      <c r="F601" s="6" t="n"/>
    </row>
    <row r="602">
      <c r="C602" s="5" t="n"/>
      <c r="E602" s="6" t="n"/>
      <c r="F602" s="6" t="n"/>
    </row>
    <row r="603">
      <c r="C603" s="5" t="n"/>
      <c r="E603" s="6" t="n"/>
      <c r="F603" s="6" t="n"/>
    </row>
    <row r="604">
      <c r="C604" s="5" t="n"/>
      <c r="E604" s="6" t="n"/>
      <c r="F604" s="6" t="n"/>
    </row>
    <row r="605">
      <c r="C605" s="5" t="n"/>
      <c r="E605" s="6" t="n"/>
      <c r="F605" s="6" t="n"/>
    </row>
    <row r="606">
      <c r="C606" s="5" t="n"/>
      <c r="E606" s="6" t="n"/>
      <c r="F606" s="6" t="n"/>
    </row>
    <row r="607">
      <c r="C607" s="5" t="n"/>
      <c r="E607" s="6" t="n"/>
      <c r="F607" s="6" t="n"/>
    </row>
    <row r="608">
      <c r="C608" s="5" t="n"/>
      <c r="E608" s="6" t="n"/>
      <c r="F608" s="6" t="n"/>
    </row>
    <row r="609">
      <c r="C609" s="5" t="n"/>
      <c r="E609" s="6" t="n"/>
      <c r="F609" s="6" t="n"/>
    </row>
    <row r="610">
      <c r="C610" s="5" t="n"/>
      <c r="E610" s="6" t="n"/>
      <c r="F610" s="6" t="n"/>
    </row>
    <row r="611">
      <c r="C611" s="5" t="n"/>
      <c r="E611" s="6" t="n"/>
      <c r="F611" s="6" t="n"/>
    </row>
    <row r="612">
      <c r="C612" s="5" t="n"/>
      <c r="E612" s="6" t="n"/>
      <c r="F612" s="6" t="n"/>
    </row>
    <row r="613">
      <c r="C613" s="5" t="n"/>
      <c r="E613" s="6" t="n"/>
      <c r="F613" s="6" t="n"/>
    </row>
    <row r="614">
      <c r="C614" s="5" t="n"/>
      <c r="E614" s="6" t="n"/>
      <c r="F614" s="6" t="n"/>
    </row>
    <row r="615">
      <c r="C615" s="5" t="n"/>
      <c r="E615" s="6" t="n"/>
      <c r="F615" s="6" t="n"/>
    </row>
    <row r="616">
      <c r="C616" s="5" t="n"/>
      <c r="E616" s="6" t="n"/>
      <c r="F616" s="6" t="n"/>
    </row>
    <row r="617">
      <c r="C617" s="5" t="n"/>
      <c r="E617" s="6" t="n"/>
      <c r="F617" s="6" t="n"/>
    </row>
    <row r="618">
      <c r="C618" s="5" t="n"/>
      <c r="E618" s="6" t="n"/>
      <c r="F618" s="6" t="n"/>
    </row>
    <row r="619">
      <c r="C619" s="5" t="n"/>
      <c r="E619" s="6" t="n"/>
      <c r="F619" s="6" t="n"/>
    </row>
    <row r="620">
      <c r="C620" s="5" t="n"/>
      <c r="E620" s="6" t="n"/>
      <c r="F620" s="6" t="n"/>
    </row>
    <row r="621">
      <c r="C621" s="5" t="n"/>
      <c r="E621" s="6" t="n"/>
      <c r="F621" s="6" t="n"/>
    </row>
    <row r="622">
      <c r="C622" s="5" t="n"/>
      <c r="E622" s="6" t="n"/>
      <c r="F622" s="6" t="n"/>
    </row>
    <row r="623">
      <c r="C623" s="5" t="n"/>
      <c r="E623" s="6" t="n"/>
      <c r="F623" s="6" t="n"/>
    </row>
    <row r="624">
      <c r="C624" s="5" t="n"/>
      <c r="E624" s="6" t="n"/>
      <c r="F624" s="6" t="n"/>
    </row>
    <row r="625">
      <c r="C625" s="5" t="n"/>
      <c r="E625" s="6" t="n"/>
      <c r="F625" s="6" t="n"/>
    </row>
    <row r="626">
      <c r="C626" s="5" t="n"/>
      <c r="E626" s="6" t="n"/>
      <c r="F626" s="6" t="n"/>
    </row>
    <row r="627">
      <c r="C627" s="5" t="n"/>
      <c r="E627" s="6" t="n"/>
      <c r="F627" s="6" t="n"/>
    </row>
    <row r="628">
      <c r="C628" s="5" t="n"/>
      <c r="E628" s="6" t="n"/>
      <c r="F628" s="6" t="n"/>
    </row>
    <row r="629">
      <c r="C629" s="5" t="n"/>
      <c r="E629" s="6" t="n"/>
      <c r="F629" s="6" t="n"/>
    </row>
    <row r="630">
      <c r="C630" s="5" t="n"/>
      <c r="E630" s="6" t="n"/>
      <c r="F630" s="6" t="n"/>
    </row>
    <row r="631">
      <c r="C631" s="5" t="n"/>
      <c r="E631" s="6" t="n"/>
      <c r="F631" s="6" t="n"/>
    </row>
    <row r="632">
      <c r="C632" s="5" t="n"/>
      <c r="E632" s="6" t="n"/>
      <c r="F632" s="6" t="n"/>
    </row>
    <row r="633">
      <c r="C633" s="5" t="n"/>
      <c r="E633" s="6" t="n"/>
      <c r="F633" s="6" t="n"/>
    </row>
    <row r="634">
      <c r="C634" s="5" t="n"/>
      <c r="E634" s="6" t="n"/>
      <c r="F634" s="6" t="n"/>
    </row>
    <row r="635">
      <c r="C635" s="5" t="n"/>
      <c r="E635" s="6" t="n"/>
      <c r="F635" s="6" t="n"/>
    </row>
    <row r="636">
      <c r="C636" s="5" t="n"/>
      <c r="E636" s="6" t="n"/>
      <c r="F636" s="6" t="n"/>
    </row>
    <row r="637">
      <c r="C637" s="5" t="n"/>
      <c r="E637" s="6" t="n"/>
      <c r="F637" s="6" t="n"/>
    </row>
    <row r="638">
      <c r="C638" s="5" t="n"/>
      <c r="E638" s="6" t="n"/>
      <c r="F638" s="6" t="n"/>
    </row>
    <row r="639">
      <c r="C639" s="5" t="n"/>
      <c r="E639" s="6" t="n"/>
      <c r="F639" s="6" t="n"/>
    </row>
    <row r="640">
      <c r="C640" s="5" t="n"/>
      <c r="E640" s="6" t="n"/>
      <c r="F640" s="6" t="n"/>
    </row>
    <row r="641">
      <c r="C641" s="5" t="n"/>
      <c r="E641" s="6" t="n"/>
      <c r="F641" s="6" t="n"/>
    </row>
    <row r="642">
      <c r="C642" s="5" t="n"/>
      <c r="E642" s="6" t="n"/>
      <c r="F642" s="6" t="n"/>
    </row>
    <row r="643">
      <c r="C643" s="5" t="n"/>
      <c r="E643" s="6" t="n"/>
      <c r="F643" s="6" t="n"/>
    </row>
    <row r="644">
      <c r="C644" s="5" t="n"/>
      <c r="E644" s="6" t="n"/>
      <c r="F644" s="6" t="n"/>
    </row>
    <row r="645">
      <c r="C645" s="5" t="n"/>
      <c r="E645" s="6" t="n"/>
      <c r="F645" s="6" t="n"/>
    </row>
    <row r="646">
      <c r="C646" s="5" t="n"/>
      <c r="E646" s="6" t="n"/>
      <c r="F646" s="6" t="n"/>
    </row>
    <row r="647">
      <c r="C647" s="5" t="n"/>
      <c r="E647" s="6" t="n"/>
      <c r="F647" s="6" t="n"/>
    </row>
    <row r="648">
      <c r="C648" s="5" t="n"/>
      <c r="E648" s="6" t="n"/>
      <c r="F648" s="6" t="n"/>
    </row>
    <row r="649">
      <c r="C649" s="5" t="n"/>
      <c r="E649" s="6" t="n"/>
      <c r="F649" s="6" t="n"/>
    </row>
    <row r="650">
      <c r="C650" s="5" t="n"/>
      <c r="E650" s="6" t="n"/>
      <c r="F650" s="6" t="n"/>
    </row>
    <row r="651">
      <c r="C651" s="5" t="n"/>
      <c r="E651" s="6" t="n"/>
      <c r="F651" s="6" t="n"/>
    </row>
    <row r="652">
      <c r="C652" s="5" t="n"/>
      <c r="E652" s="6" t="n"/>
      <c r="F652" s="6" t="n"/>
    </row>
    <row r="653">
      <c r="C653" s="5" t="n"/>
      <c r="E653" s="6" t="n"/>
      <c r="F653" s="6" t="n"/>
    </row>
    <row r="654">
      <c r="C654" s="5" t="n"/>
      <c r="E654" s="6" t="n"/>
      <c r="F654" s="6" t="n"/>
    </row>
    <row r="655">
      <c r="C655" s="5" t="n"/>
      <c r="E655" s="6" t="n"/>
      <c r="F655" s="6" t="n"/>
    </row>
    <row r="656">
      <c r="C656" s="5" t="n"/>
      <c r="E656" s="6" t="n"/>
      <c r="F656" s="6" t="n"/>
    </row>
    <row r="657">
      <c r="C657" s="5" t="n"/>
      <c r="E657" s="6" t="n"/>
      <c r="F657" s="6" t="n"/>
    </row>
    <row r="658">
      <c r="C658" s="5" t="n"/>
      <c r="E658" s="6" t="n"/>
      <c r="F658" s="6" t="n"/>
    </row>
    <row r="659">
      <c r="C659" s="5" t="n"/>
      <c r="E659" s="6" t="n"/>
      <c r="F659" s="6" t="n"/>
    </row>
    <row r="660">
      <c r="C660" s="5" t="n"/>
      <c r="E660" s="6" t="n"/>
      <c r="F660" s="6" t="n"/>
    </row>
    <row r="661">
      <c r="C661" s="5" t="n"/>
      <c r="E661" s="6" t="n"/>
      <c r="F661" s="6" t="n"/>
    </row>
    <row r="662">
      <c r="C662" s="5" t="n"/>
      <c r="E662" s="6" t="n"/>
      <c r="F662" s="6" t="n"/>
    </row>
    <row r="663">
      <c r="C663" s="5" t="n"/>
      <c r="E663" s="6" t="n"/>
      <c r="F663" s="6" t="n"/>
    </row>
    <row r="664">
      <c r="C664" s="5" t="n"/>
      <c r="E664" s="6" t="n"/>
      <c r="F664" s="6" t="n"/>
    </row>
    <row r="665">
      <c r="C665" s="5" t="n"/>
      <c r="E665" s="6" t="n"/>
      <c r="F665" s="6" t="n"/>
    </row>
    <row r="666">
      <c r="C666" s="5" t="n"/>
      <c r="E666" s="6" t="n"/>
      <c r="F666" s="6" t="n"/>
    </row>
    <row r="667">
      <c r="C667" s="5" t="n"/>
      <c r="E667" s="6" t="n"/>
      <c r="F667" s="6" t="n"/>
    </row>
    <row r="668">
      <c r="C668" s="5" t="n"/>
      <c r="E668" s="6" t="n"/>
      <c r="F668" s="6" t="n"/>
    </row>
    <row r="669">
      <c r="C669" s="5" t="n"/>
      <c r="E669" s="6" t="n"/>
      <c r="F669" s="6" t="n"/>
    </row>
    <row r="670">
      <c r="C670" s="5" t="n"/>
      <c r="E670" s="6" t="n"/>
      <c r="F670" s="6" t="n"/>
    </row>
    <row r="671">
      <c r="C671" s="5" t="n"/>
      <c r="E671" s="6" t="n"/>
      <c r="F671" s="6" t="n"/>
    </row>
    <row r="672">
      <c r="C672" s="5" t="n"/>
      <c r="E672" s="6" t="n"/>
      <c r="F672" s="6" t="n"/>
    </row>
    <row r="673">
      <c r="C673" s="5" t="n"/>
      <c r="E673" s="6" t="n"/>
      <c r="F673" s="6" t="n"/>
    </row>
    <row r="674">
      <c r="C674" s="5" t="n"/>
      <c r="E674" s="6" t="n"/>
      <c r="F674" s="6" t="n"/>
    </row>
    <row r="675">
      <c r="C675" s="5" t="n"/>
      <c r="E675" s="6" t="n"/>
      <c r="F675" s="6" t="n"/>
    </row>
    <row r="676">
      <c r="C676" s="5" t="n"/>
      <c r="E676" s="6" t="n"/>
      <c r="F676" s="6" t="n"/>
    </row>
    <row r="677">
      <c r="C677" s="5" t="n"/>
      <c r="E677" s="6" t="n"/>
      <c r="F677" s="6" t="n"/>
    </row>
    <row r="678">
      <c r="C678" s="5" t="n"/>
      <c r="E678" s="6" t="n"/>
      <c r="F678" s="6" t="n"/>
    </row>
    <row r="679">
      <c r="C679" s="5" t="n"/>
      <c r="E679" s="6" t="n"/>
      <c r="F679" s="6" t="n"/>
    </row>
    <row r="680">
      <c r="C680" s="5" t="n"/>
      <c r="E680" s="6" t="n"/>
      <c r="F680" s="6" t="n"/>
    </row>
    <row r="681">
      <c r="C681" s="5" t="n"/>
      <c r="E681" s="6" t="n"/>
      <c r="F681" s="6" t="n"/>
    </row>
    <row r="682">
      <c r="C682" s="5" t="n"/>
      <c r="E682" s="6" t="n"/>
      <c r="F682" s="6" t="n"/>
    </row>
    <row r="683">
      <c r="C683" s="5" t="n"/>
      <c r="E683" s="6" t="n"/>
      <c r="F683" s="6" t="n"/>
    </row>
    <row r="684">
      <c r="C684" s="5" t="n"/>
      <c r="E684" s="6" t="n"/>
      <c r="F684" s="6" t="n"/>
    </row>
    <row r="685">
      <c r="C685" s="5" t="n"/>
      <c r="E685" s="6" t="n"/>
      <c r="F685" s="6" t="n"/>
    </row>
    <row r="686">
      <c r="C686" s="5" t="n"/>
      <c r="E686" s="6" t="n"/>
      <c r="F686" s="6" t="n"/>
    </row>
    <row r="687">
      <c r="C687" s="5" t="n"/>
      <c r="E687" s="6" t="n"/>
      <c r="F687" s="6" t="n"/>
    </row>
    <row r="688">
      <c r="C688" s="5" t="n"/>
      <c r="E688" s="6" t="n"/>
      <c r="F688" s="6" t="n"/>
    </row>
    <row r="689">
      <c r="C689" s="5" t="n"/>
      <c r="E689" s="6" t="n"/>
      <c r="F689" s="6" t="n"/>
    </row>
    <row r="690">
      <c r="C690" s="5" t="n"/>
      <c r="E690" s="6" t="n"/>
      <c r="F690" s="6" t="n"/>
    </row>
    <row r="691">
      <c r="C691" s="5" t="n"/>
      <c r="E691" s="6" t="n"/>
      <c r="F691" s="6" t="n"/>
    </row>
    <row r="692">
      <c r="C692" s="5" t="n"/>
      <c r="E692" s="6" t="n"/>
      <c r="F692" s="6" t="n"/>
    </row>
    <row r="693">
      <c r="C693" s="5" t="n"/>
      <c r="E693" s="6" t="n"/>
      <c r="F693" s="6" t="n"/>
    </row>
    <row r="694">
      <c r="C694" s="5" t="n"/>
      <c r="E694" s="6" t="n"/>
      <c r="F694" s="6" t="n"/>
    </row>
    <row r="695">
      <c r="C695" s="5" t="n"/>
      <c r="E695" s="6" t="n"/>
      <c r="F695" s="6" t="n"/>
    </row>
    <row r="696">
      <c r="C696" s="5" t="n"/>
      <c r="E696" s="6" t="n"/>
      <c r="F696" s="6" t="n"/>
    </row>
    <row r="697">
      <c r="C697" s="5" t="n"/>
      <c r="E697" s="6" t="n"/>
      <c r="F697" s="6" t="n"/>
    </row>
    <row r="698">
      <c r="C698" s="5" t="n"/>
      <c r="E698" s="6" t="n"/>
      <c r="F698" s="6" t="n"/>
    </row>
    <row r="699">
      <c r="C699" s="5" t="n"/>
      <c r="E699" s="6" t="n"/>
      <c r="F699" s="6" t="n"/>
    </row>
    <row r="700">
      <c r="C700" s="5" t="n"/>
      <c r="E700" s="6" t="n"/>
      <c r="F700" s="6" t="n"/>
    </row>
    <row r="701">
      <c r="C701" s="5" t="n"/>
      <c r="E701" s="6" t="n"/>
      <c r="F701" s="6" t="n"/>
    </row>
    <row r="702">
      <c r="C702" s="5" t="n"/>
      <c r="E702" s="6" t="n"/>
      <c r="F702" s="6" t="n"/>
    </row>
    <row r="703">
      <c r="C703" s="5" t="n"/>
      <c r="E703" s="6" t="n"/>
      <c r="F703" s="6" t="n"/>
    </row>
    <row r="704">
      <c r="C704" s="5" t="n"/>
      <c r="E704" s="6" t="n"/>
      <c r="F704" s="6" t="n"/>
    </row>
    <row r="705">
      <c r="C705" s="5" t="n"/>
      <c r="E705" s="6" t="n"/>
      <c r="F705" s="6" t="n"/>
    </row>
    <row r="706">
      <c r="C706" s="5" t="n"/>
      <c r="E706" s="6" t="n"/>
      <c r="F706" s="6" t="n"/>
    </row>
    <row r="707">
      <c r="C707" s="5" t="n"/>
      <c r="E707" s="6" t="n"/>
      <c r="F707" s="6" t="n"/>
    </row>
    <row r="708">
      <c r="C708" s="5" t="n"/>
      <c r="E708" s="6" t="n"/>
      <c r="F708" s="6" t="n"/>
    </row>
    <row r="709">
      <c r="C709" s="5" t="n"/>
      <c r="E709" s="6" t="n"/>
      <c r="F709" s="6" t="n"/>
    </row>
    <row r="710">
      <c r="C710" s="5" t="n"/>
      <c r="E710" s="6" t="n"/>
      <c r="F710" s="6" t="n"/>
    </row>
    <row r="711">
      <c r="C711" s="5" t="n"/>
      <c r="E711" s="6" t="n"/>
      <c r="F711" s="6" t="n"/>
    </row>
    <row r="712">
      <c r="C712" s="5" t="n"/>
      <c r="E712" s="6" t="n"/>
      <c r="F712" s="6" t="n"/>
    </row>
    <row r="713">
      <c r="C713" s="5" t="n"/>
      <c r="E713" s="6" t="n"/>
      <c r="F713" s="6" t="n"/>
    </row>
    <row r="714">
      <c r="C714" s="5" t="n"/>
      <c r="E714" s="6" t="n"/>
      <c r="F714" s="6" t="n"/>
    </row>
    <row r="715">
      <c r="C715" s="5" t="n"/>
      <c r="E715" s="6" t="n"/>
      <c r="F715" s="6" t="n"/>
    </row>
    <row r="716">
      <c r="C716" s="5" t="n"/>
      <c r="E716" s="6" t="n"/>
      <c r="F716" s="6" t="n"/>
    </row>
    <row r="717">
      <c r="C717" s="5" t="n"/>
      <c r="E717" s="6" t="n"/>
      <c r="F717" s="6" t="n"/>
    </row>
    <row r="718">
      <c r="C718" s="5" t="n"/>
      <c r="E718" s="6" t="n"/>
      <c r="F718" s="6" t="n"/>
    </row>
    <row r="719">
      <c r="C719" s="5" t="n"/>
      <c r="E719" s="6" t="n"/>
      <c r="F719" s="6" t="n"/>
    </row>
    <row r="720">
      <c r="C720" s="5" t="n"/>
      <c r="E720" s="6" t="n"/>
      <c r="F720" s="6" t="n"/>
    </row>
    <row r="721">
      <c r="C721" s="5" t="n"/>
      <c r="E721" s="6" t="n"/>
      <c r="F721" s="6" t="n"/>
    </row>
    <row r="722">
      <c r="C722" s="5" t="n"/>
      <c r="E722" s="6" t="n"/>
      <c r="F722" s="6" t="n"/>
    </row>
    <row r="723">
      <c r="C723" s="5" t="n"/>
      <c r="E723" s="6" t="n"/>
      <c r="F723" s="6" t="n"/>
    </row>
    <row r="724">
      <c r="C724" s="5" t="n"/>
      <c r="E724" s="6" t="n"/>
      <c r="F724" s="6" t="n"/>
    </row>
    <row r="725">
      <c r="C725" s="5" t="n"/>
      <c r="E725" s="6" t="n"/>
      <c r="F725" s="6" t="n"/>
    </row>
    <row r="726">
      <c r="C726" s="5" t="n"/>
      <c r="E726" s="6" t="n"/>
      <c r="F726" s="6" t="n"/>
    </row>
    <row r="727">
      <c r="C727" s="5" t="n"/>
      <c r="E727" s="6" t="n"/>
      <c r="F727" s="6" t="n"/>
    </row>
    <row r="728">
      <c r="C728" s="5" t="n"/>
      <c r="E728" s="6" t="n"/>
      <c r="F728" s="6" t="n"/>
    </row>
    <row r="729">
      <c r="C729" s="5" t="n"/>
      <c r="E729" s="6" t="n"/>
      <c r="F729" s="6" t="n"/>
    </row>
    <row r="730">
      <c r="C730" s="5" t="n"/>
      <c r="E730" s="6" t="n"/>
      <c r="F730" s="6" t="n"/>
    </row>
    <row r="731">
      <c r="C731" s="5" t="n"/>
      <c r="E731" s="6" t="n"/>
      <c r="F731" s="6" t="n"/>
    </row>
    <row r="732">
      <c r="C732" s="5" t="n"/>
      <c r="E732" s="6" t="n"/>
      <c r="F732" s="6" t="n"/>
    </row>
    <row r="733">
      <c r="C733" s="5" t="n"/>
      <c r="E733" s="6" t="n"/>
      <c r="F733" s="6" t="n"/>
    </row>
    <row r="734">
      <c r="C734" s="5" t="n"/>
      <c r="E734" s="6" t="n"/>
      <c r="F734" s="6" t="n"/>
    </row>
    <row r="735">
      <c r="C735" s="5" t="n"/>
      <c r="E735" s="6" t="n"/>
      <c r="F735" s="6" t="n"/>
    </row>
    <row r="736">
      <c r="C736" s="5" t="n"/>
      <c r="E736" s="6" t="n"/>
      <c r="F736" s="6" t="n"/>
    </row>
    <row r="737">
      <c r="C737" s="5" t="n"/>
      <c r="E737" s="6" t="n"/>
      <c r="F737" s="6" t="n"/>
    </row>
    <row r="738">
      <c r="C738" s="5" t="n"/>
      <c r="E738" s="6" t="n"/>
      <c r="F738" s="6" t="n"/>
    </row>
    <row r="739">
      <c r="C739" s="5" t="n"/>
      <c r="E739" s="6" t="n"/>
      <c r="F739" s="6" t="n"/>
    </row>
    <row r="740">
      <c r="C740" s="5" t="n"/>
      <c r="E740" s="6" t="n"/>
      <c r="F740" s="6" t="n"/>
    </row>
    <row r="741">
      <c r="C741" s="5" t="n"/>
      <c r="E741" s="6" t="n"/>
      <c r="F741" s="6" t="n"/>
    </row>
    <row r="742">
      <c r="C742" s="5" t="n"/>
      <c r="E742" s="6" t="n"/>
      <c r="F742" s="6" t="n"/>
    </row>
    <row r="743">
      <c r="C743" s="5" t="n"/>
      <c r="E743" s="6" t="n"/>
      <c r="F743" s="6" t="n"/>
    </row>
    <row r="744">
      <c r="C744" s="5" t="n"/>
      <c r="E744" s="6" t="n"/>
      <c r="F744" s="6" t="n"/>
    </row>
    <row r="745">
      <c r="C745" s="5" t="n"/>
      <c r="E745" s="6" t="n"/>
      <c r="F745" s="6" t="n"/>
    </row>
    <row r="746">
      <c r="C746" s="5" t="n"/>
      <c r="E746" s="6" t="n"/>
      <c r="F746" s="6" t="n"/>
    </row>
    <row r="747">
      <c r="C747" s="5" t="n"/>
      <c r="E747" s="6" t="n"/>
      <c r="F747" s="6" t="n"/>
    </row>
    <row r="748">
      <c r="C748" s="5" t="n"/>
      <c r="E748" s="6" t="n"/>
      <c r="F748" s="6" t="n"/>
    </row>
    <row r="749">
      <c r="C749" s="5" t="n"/>
      <c r="E749" s="6" t="n"/>
      <c r="F749" s="6" t="n"/>
    </row>
    <row r="750">
      <c r="C750" s="5" t="n"/>
      <c r="E750" s="6" t="n"/>
      <c r="F750" s="6" t="n"/>
    </row>
    <row r="751">
      <c r="C751" s="5" t="n"/>
      <c r="E751" s="6" t="n"/>
      <c r="F751" s="6" t="n"/>
    </row>
    <row r="752">
      <c r="C752" s="5" t="n"/>
      <c r="E752" s="6" t="n"/>
      <c r="F752" s="6" t="n"/>
    </row>
    <row r="753">
      <c r="C753" s="5" t="n"/>
      <c r="E753" s="6" t="n"/>
      <c r="F753" s="6" t="n"/>
    </row>
    <row r="754">
      <c r="C754" s="5" t="n"/>
      <c r="E754" s="6" t="n"/>
      <c r="F754" s="6" t="n"/>
    </row>
    <row r="755">
      <c r="C755" s="5" t="n"/>
      <c r="E755" s="6" t="n"/>
      <c r="F755" s="6" t="n"/>
    </row>
    <row r="756">
      <c r="C756" s="5" t="n"/>
      <c r="E756" s="6" t="n"/>
      <c r="F756" s="6" t="n"/>
    </row>
    <row r="757">
      <c r="C757" s="5" t="n"/>
      <c r="E757" s="6" t="n"/>
      <c r="F757" s="6" t="n"/>
    </row>
    <row r="758">
      <c r="C758" s="5" t="n"/>
      <c r="E758" s="6" t="n"/>
      <c r="F758" s="6" t="n"/>
    </row>
    <row r="759">
      <c r="C759" s="5" t="n"/>
      <c r="E759" s="6" t="n"/>
      <c r="F759" s="6" t="n"/>
    </row>
    <row r="760">
      <c r="C760" s="5" t="n"/>
      <c r="E760" s="6" t="n"/>
      <c r="F760" s="6" t="n"/>
    </row>
    <row r="761">
      <c r="C761" s="5" t="n"/>
      <c r="E761" s="6" t="n"/>
      <c r="F761" s="6" t="n"/>
    </row>
    <row r="762">
      <c r="C762" s="5" t="n"/>
      <c r="E762" s="6" t="n"/>
      <c r="F762" s="6" t="n"/>
    </row>
    <row r="763">
      <c r="C763" s="5" t="n"/>
      <c r="E763" s="6" t="n"/>
      <c r="F763" s="6" t="n"/>
    </row>
    <row r="764">
      <c r="C764" s="5" t="n"/>
      <c r="E764" s="6" t="n"/>
      <c r="F764" s="6" t="n"/>
    </row>
    <row r="765">
      <c r="C765" s="5" t="n"/>
      <c r="E765" s="6" t="n"/>
      <c r="F765" s="6" t="n"/>
    </row>
    <row r="766">
      <c r="C766" s="5" t="n"/>
      <c r="E766" s="6" t="n"/>
      <c r="F766" s="6" t="n"/>
    </row>
    <row r="767">
      <c r="C767" s="5" t="n"/>
      <c r="E767" s="6" t="n"/>
      <c r="F767" s="6" t="n"/>
    </row>
    <row r="768">
      <c r="C768" s="5" t="n"/>
      <c r="E768" s="6" t="n"/>
      <c r="F768" s="6" t="n"/>
    </row>
    <row r="769">
      <c r="C769" s="5" t="n"/>
      <c r="E769" s="6" t="n"/>
      <c r="F769" s="6" t="n"/>
    </row>
    <row r="770">
      <c r="C770" s="5" t="n"/>
      <c r="E770" s="6" t="n"/>
      <c r="F770" s="6" t="n"/>
    </row>
    <row r="771">
      <c r="C771" s="5" t="n"/>
      <c r="E771" s="6" t="n"/>
      <c r="F771" s="6" t="n"/>
    </row>
    <row r="772">
      <c r="C772" s="5" t="n"/>
      <c r="E772" s="6" t="n"/>
      <c r="F772" s="6" t="n"/>
    </row>
    <row r="773">
      <c r="C773" s="5" t="n"/>
      <c r="E773" s="6" t="n"/>
      <c r="F773" s="6" t="n"/>
    </row>
    <row r="774">
      <c r="C774" s="5" t="n"/>
      <c r="E774" s="6" t="n"/>
      <c r="F774" s="6" t="n"/>
    </row>
    <row r="775">
      <c r="C775" s="5" t="n"/>
      <c r="E775" s="6" t="n"/>
      <c r="F775" s="6" t="n"/>
    </row>
    <row r="776">
      <c r="C776" s="5" t="n"/>
      <c r="E776" s="6" t="n"/>
      <c r="F776" s="6" t="n"/>
    </row>
    <row r="777">
      <c r="C777" s="5" t="n"/>
      <c r="E777" s="6" t="n"/>
      <c r="F777" s="6" t="n"/>
    </row>
    <row r="778">
      <c r="C778" s="5" t="n"/>
      <c r="E778" s="6" t="n"/>
      <c r="F778" s="6" t="n"/>
    </row>
    <row r="779">
      <c r="C779" s="5" t="n"/>
      <c r="E779" s="6" t="n"/>
      <c r="F779" s="6" t="n"/>
    </row>
    <row r="780">
      <c r="C780" s="5" t="n"/>
      <c r="E780" s="6" t="n"/>
      <c r="F780" s="6" t="n"/>
    </row>
    <row r="781">
      <c r="C781" s="5" t="n"/>
      <c r="E781" s="6" t="n"/>
      <c r="F781" s="6" t="n"/>
    </row>
    <row r="782">
      <c r="C782" s="5" t="n"/>
      <c r="E782" s="6" t="n"/>
      <c r="F782" s="6" t="n"/>
    </row>
    <row r="783">
      <c r="C783" s="5" t="n"/>
      <c r="E783" s="6" t="n"/>
      <c r="F783" s="6" t="n"/>
    </row>
    <row r="784">
      <c r="C784" s="5" t="n"/>
      <c r="E784" s="6" t="n"/>
      <c r="F784" s="6" t="n"/>
    </row>
    <row r="785">
      <c r="C785" s="5" t="n"/>
      <c r="E785" s="6" t="n"/>
      <c r="F785" s="6" t="n"/>
    </row>
    <row r="786">
      <c r="C786" s="5" t="n"/>
      <c r="E786" s="6" t="n"/>
      <c r="F786" s="6" t="n"/>
    </row>
    <row r="787">
      <c r="C787" s="5" t="n"/>
      <c r="E787" s="6" t="n"/>
      <c r="F787" s="6" t="n"/>
    </row>
    <row r="788">
      <c r="C788" s="5" t="n"/>
      <c r="E788" s="6" t="n"/>
      <c r="F788" s="6" t="n"/>
    </row>
    <row r="789">
      <c r="C789" s="5" t="n"/>
      <c r="E789" s="6" t="n"/>
      <c r="F789" s="6" t="n"/>
    </row>
    <row r="790">
      <c r="C790" s="5" t="n"/>
      <c r="E790" s="6" t="n"/>
      <c r="F790" s="6" t="n"/>
    </row>
    <row r="791">
      <c r="C791" s="5" t="n"/>
      <c r="E791" s="6" t="n"/>
      <c r="F791" s="6" t="n"/>
    </row>
    <row r="792">
      <c r="C792" s="5" t="n"/>
      <c r="E792" s="6" t="n"/>
      <c r="F792" s="6" t="n"/>
    </row>
    <row r="793">
      <c r="C793" s="5" t="n"/>
      <c r="E793" s="6" t="n"/>
      <c r="F793" s="6" t="n"/>
    </row>
    <row r="794">
      <c r="C794" s="5" t="n"/>
      <c r="E794" s="6" t="n"/>
      <c r="F794" s="6" t="n"/>
    </row>
    <row r="795">
      <c r="C795" s="5" t="n"/>
      <c r="E795" s="6" t="n"/>
      <c r="F795" s="6" t="n"/>
    </row>
    <row r="796">
      <c r="C796" s="5" t="n"/>
      <c r="E796" s="6" t="n"/>
      <c r="F796" s="6" t="n"/>
    </row>
    <row r="797">
      <c r="C797" s="5" t="n"/>
      <c r="E797" s="6" t="n"/>
      <c r="F797" s="6" t="n"/>
    </row>
    <row r="798">
      <c r="C798" s="5" t="n"/>
      <c r="E798" s="6" t="n"/>
      <c r="F798" s="6" t="n"/>
    </row>
    <row r="799">
      <c r="C799" s="5" t="n"/>
      <c r="E799" s="6" t="n"/>
      <c r="F799" s="6" t="n"/>
    </row>
    <row r="800">
      <c r="C800" s="5" t="n"/>
      <c r="E800" s="6" t="n"/>
      <c r="F800" s="6" t="n"/>
    </row>
    <row r="801">
      <c r="C801" s="5" t="n"/>
      <c r="E801" s="6" t="n"/>
      <c r="F801" s="6" t="n"/>
    </row>
    <row r="802">
      <c r="C802" s="5" t="n"/>
      <c r="E802" s="6" t="n"/>
      <c r="F802" s="6" t="n"/>
    </row>
    <row r="803">
      <c r="C803" s="5" t="n"/>
      <c r="E803" s="6" t="n"/>
      <c r="F803" s="6" t="n"/>
    </row>
    <row r="804">
      <c r="C804" s="5" t="n"/>
      <c r="E804" s="6" t="n"/>
      <c r="F804" s="6" t="n"/>
    </row>
    <row r="805">
      <c r="C805" s="5" t="n"/>
      <c r="E805" s="6" t="n"/>
      <c r="F805" s="6" t="n"/>
    </row>
    <row r="806">
      <c r="C806" s="5" t="n"/>
      <c r="E806" s="6" t="n"/>
      <c r="F806" s="6" t="n"/>
    </row>
    <row r="807">
      <c r="C807" s="5" t="n"/>
      <c r="E807" s="6" t="n"/>
      <c r="F807" s="6" t="n"/>
    </row>
    <row r="808">
      <c r="C808" s="5" t="n"/>
      <c r="E808" s="6" t="n"/>
      <c r="F808" s="6" t="n"/>
    </row>
    <row r="809">
      <c r="C809" s="5" t="n"/>
      <c r="E809" s="6" t="n"/>
      <c r="F809" s="6" t="n"/>
    </row>
    <row r="810">
      <c r="C810" s="5" t="n"/>
      <c r="E810" s="6" t="n"/>
      <c r="F810" s="6" t="n"/>
    </row>
    <row r="811">
      <c r="C811" s="5" t="n"/>
      <c r="E811" s="6" t="n"/>
      <c r="F811" s="6" t="n"/>
    </row>
    <row r="812">
      <c r="C812" s="5" t="n"/>
      <c r="E812" s="6" t="n"/>
      <c r="F812" s="6" t="n"/>
    </row>
    <row r="813">
      <c r="C813" s="5" t="n"/>
      <c r="E813" s="6" t="n"/>
      <c r="F813" s="6" t="n"/>
    </row>
    <row r="814">
      <c r="C814" s="5" t="n"/>
      <c r="E814" s="6" t="n"/>
      <c r="F814" s="6" t="n"/>
    </row>
    <row r="815">
      <c r="C815" s="5" t="n"/>
      <c r="E815" s="6" t="n"/>
      <c r="F815" s="6" t="n"/>
    </row>
    <row r="816">
      <c r="C816" s="5" t="n"/>
      <c r="E816" s="6" t="n"/>
      <c r="F816" s="6" t="n"/>
    </row>
    <row r="817">
      <c r="C817" s="5" t="n"/>
      <c r="E817" s="6" t="n"/>
      <c r="F817" s="6" t="n"/>
    </row>
    <row r="818">
      <c r="C818" s="5" t="n"/>
      <c r="E818" s="6" t="n"/>
      <c r="F818" s="6" t="n"/>
    </row>
    <row r="819">
      <c r="C819" s="5" t="n"/>
      <c r="E819" s="6" t="n"/>
      <c r="F819" s="6" t="n"/>
    </row>
    <row r="820">
      <c r="C820" s="5" t="n"/>
      <c r="E820" s="6" t="n"/>
      <c r="F820" s="6" t="n"/>
    </row>
    <row r="821">
      <c r="C821" s="5" t="n"/>
      <c r="E821" s="6" t="n"/>
      <c r="F821" s="6" t="n"/>
    </row>
    <row r="822">
      <c r="C822" s="5" t="n"/>
      <c r="E822" s="6" t="n"/>
      <c r="F822" s="6" t="n"/>
    </row>
    <row r="823">
      <c r="C823" s="5" t="n"/>
      <c r="E823" s="6" t="n"/>
      <c r="F823" s="6" t="n"/>
    </row>
    <row r="824">
      <c r="C824" s="5" t="n"/>
      <c r="E824" s="6" t="n"/>
      <c r="F824" s="6" t="n"/>
    </row>
    <row r="825">
      <c r="C825" s="5" t="n"/>
      <c r="E825" s="6" t="n"/>
      <c r="F825" s="6" t="n"/>
    </row>
    <row r="826">
      <c r="C826" s="5" t="n"/>
      <c r="E826" s="6" t="n"/>
      <c r="F826" s="6" t="n"/>
    </row>
    <row r="827">
      <c r="C827" s="5" t="n"/>
      <c r="E827" s="6" t="n"/>
      <c r="F827" s="6" t="n"/>
    </row>
    <row r="828">
      <c r="C828" s="5" t="n"/>
      <c r="E828" s="6" t="n"/>
      <c r="F828" s="6" t="n"/>
    </row>
    <row r="829">
      <c r="C829" s="5" t="n"/>
      <c r="E829" s="6" t="n"/>
      <c r="F829" s="6" t="n"/>
    </row>
    <row r="830">
      <c r="C830" s="5" t="n"/>
      <c r="E830" s="6" t="n"/>
      <c r="F830" s="6" t="n"/>
    </row>
    <row r="831">
      <c r="C831" s="5" t="n"/>
      <c r="E831" s="6" t="n"/>
      <c r="F831" s="6" t="n"/>
    </row>
    <row r="832">
      <c r="C832" s="5" t="n"/>
      <c r="E832" s="6" t="n"/>
      <c r="F832" s="6" t="n"/>
    </row>
    <row r="833">
      <c r="C833" s="5" t="n"/>
      <c r="E833" s="6" t="n"/>
      <c r="F833" s="6" t="n"/>
    </row>
    <row r="834">
      <c r="C834" s="5" t="n"/>
      <c r="E834" s="6" t="n"/>
      <c r="F834" s="6" t="n"/>
    </row>
    <row r="835">
      <c r="C835" s="5" t="n"/>
      <c r="E835" s="6" t="n"/>
      <c r="F835" s="6" t="n"/>
    </row>
    <row r="836">
      <c r="C836" s="5" t="n"/>
      <c r="E836" s="6" t="n"/>
      <c r="F836" s="6" t="n"/>
    </row>
    <row r="837">
      <c r="C837" s="5" t="n"/>
      <c r="E837" s="6" t="n"/>
      <c r="F837" s="6" t="n"/>
    </row>
    <row r="838">
      <c r="C838" s="5" t="n"/>
      <c r="E838" s="6" t="n"/>
      <c r="F838" s="6" t="n"/>
    </row>
    <row r="839">
      <c r="C839" s="5" t="n"/>
      <c r="E839" s="6" t="n"/>
      <c r="F839" s="6" t="n"/>
    </row>
    <row r="840">
      <c r="C840" s="5" t="n"/>
      <c r="E840" s="6" t="n"/>
      <c r="F840" s="6" t="n"/>
    </row>
    <row r="841">
      <c r="C841" s="5" t="n"/>
      <c r="E841" s="6" t="n"/>
      <c r="F841" s="6" t="n"/>
    </row>
    <row r="842">
      <c r="C842" s="5" t="n"/>
      <c r="E842" s="6" t="n"/>
      <c r="F842" s="6" t="n"/>
    </row>
    <row r="843">
      <c r="C843" s="5" t="n"/>
      <c r="E843" s="6" t="n"/>
      <c r="F843" s="6" t="n"/>
    </row>
    <row r="844">
      <c r="C844" s="5" t="n"/>
      <c r="E844" s="6" t="n"/>
      <c r="F844" s="6" t="n"/>
    </row>
    <row r="845">
      <c r="C845" s="5" t="n"/>
      <c r="E845" s="6" t="n"/>
      <c r="F845" s="6" t="n"/>
    </row>
    <row r="846">
      <c r="C846" s="5" t="n"/>
      <c r="E846" s="6" t="n"/>
      <c r="F846" s="6" t="n"/>
    </row>
    <row r="847">
      <c r="C847" s="5" t="n"/>
      <c r="E847" s="6" t="n"/>
      <c r="F847" s="6" t="n"/>
    </row>
    <row r="848">
      <c r="C848" s="5" t="n"/>
      <c r="E848" s="6" t="n"/>
      <c r="F848" s="6" t="n"/>
    </row>
    <row r="849">
      <c r="C849" s="5" t="n"/>
      <c r="E849" s="6" t="n"/>
      <c r="F849" s="6" t="n"/>
    </row>
    <row r="850">
      <c r="C850" s="5" t="n"/>
      <c r="E850" s="6" t="n"/>
      <c r="F850" s="6" t="n"/>
    </row>
    <row r="851">
      <c r="C851" s="5" t="n"/>
      <c r="E851" s="6" t="n"/>
      <c r="F851" s="6" t="n"/>
    </row>
    <row r="852">
      <c r="C852" s="5" t="n"/>
      <c r="E852" s="6" t="n"/>
      <c r="F852" s="6" t="n"/>
    </row>
    <row r="853">
      <c r="C853" s="5" t="n"/>
      <c r="E853" s="6" t="n"/>
      <c r="F853" s="6" t="n"/>
    </row>
    <row r="854">
      <c r="C854" s="5" t="n"/>
      <c r="E854" s="6" t="n"/>
      <c r="F854" s="6" t="n"/>
    </row>
    <row r="855">
      <c r="C855" s="5" t="n"/>
      <c r="E855" s="6" t="n"/>
      <c r="F855" s="6" t="n"/>
    </row>
    <row r="856">
      <c r="C856" s="5" t="n"/>
      <c r="E856" s="6" t="n"/>
      <c r="F856" s="6" t="n"/>
    </row>
    <row r="857">
      <c r="C857" s="5" t="n"/>
      <c r="E857" s="6" t="n"/>
      <c r="F857" s="6" t="n"/>
    </row>
    <row r="858">
      <c r="C858" s="5" t="n"/>
      <c r="E858" s="6" t="n"/>
      <c r="F858" s="6" t="n"/>
    </row>
    <row r="859">
      <c r="C859" s="5" t="n"/>
      <c r="E859" s="6" t="n"/>
      <c r="F859" s="6" t="n"/>
    </row>
    <row r="860">
      <c r="C860" s="5" t="n"/>
      <c r="E860" s="6" t="n"/>
      <c r="F860" s="6" t="n"/>
    </row>
    <row r="861">
      <c r="C861" s="5" t="n"/>
      <c r="E861" s="6" t="n"/>
      <c r="F861" s="6" t="n"/>
    </row>
    <row r="862">
      <c r="C862" s="5" t="n"/>
      <c r="E862" s="6" t="n"/>
      <c r="F862" s="6" t="n"/>
    </row>
    <row r="863">
      <c r="C863" s="5" t="n"/>
      <c r="E863" s="6" t="n"/>
      <c r="F863" s="6" t="n"/>
    </row>
    <row r="864">
      <c r="C864" s="5" t="n"/>
      <c r="E864" s="6" t="n"/>
      <c r="F864" s="6" t="n"/>
    </row>
    <row r="865">
      <c r="C865" s="5" t="n"/>
      <c r="E865" s="6" t="n"/>
      <c r="F865" s="6" t="n"/>
    </row>
    <row r="866">
      <c r="C866" s="5" t="n"/>
      <c r="E866" s="6" t="n"/>
      <c r="F866" s="6" t="n"/>
    </row>
    <row r="867">
      <c r="C867" s="5" t="n"/>
      <c r="E867" s="6" t="n"/>
      <c r="F867" s="6" t="n"/>
    </row>
    <row r="868">
      <c r="C868" s="5" t="n"/>
      <c r="E868" s="6" t="n"/>
      <c r="F868" s="6" t="n"/>
    </row>
    <row r="869">
      <c r="C869" s="5" t="n"/>
      <c r="E869" s="6" t="n"/>
      <c r="F869" s="6" t="n"/>
    </row>
    <row r="870">
      <c r="C870" s="5" t="n"/>
      <c r="E870" s="6" t="n"/>
      <c r="F870" s="6" t="n"/>
    </row>
    <row r="871">
      <c r="C871" s="5" t="n"/>
      <c r="E871" s="6" t="n"/>
      <c r="F871" s="6" t="n"/>
    </row>
    <row r="872">
      <c r="C872" s="5" t="n"/>
      <c r="E872" s="6" t="n"/>
      <c r="F872" s="6" t="n"/>
    </row>
    <row r="873">
      <c r="C873" s="5" t="n"/>
      <c r="E873" s="6" t="n"/>
      <c r="F873" s="6" t="n"/>
    </row>
    <row r="874">
      <c r="C874" s="5" t="n"/>
      <c r="E874" s="6" t="n"/>
      <c r="F874" s="6" t="n"/>
    </row>
    <row r="875">
      <c r="C875" s="5" t="n"/>
      <c r="E875" s="6" t="n"/>
      <c r="F875" s="6" t="n"/>
    </row>
    <row r="876">
      <c r="C876" s="5" t="n"/>
      <c r="E876" s="6" t="n"/>
      <c r="F876" s="6" t="n"/>
    </row>
    <row r="877">
      <c r="C877" s="5" t="n"/>
      <c r="E877" s="6" t="n"/>
      <c r="F877" s="6" t="n"/>
    </row>
    <row r="878">
      <c r="C878" s="5" t="n"/>
      <c r="E878" s="6" t="n"/>
      <c r="F878" s="6" t="n"/>
    </row>
    <row r="879">
      <c r="C879" s="5" t="n"/>
      <c r="E879" s="6" t="n"/>
      <c r="F879" s="6" t="n"/>
    </row>
    <row r="880">
      <c r="C880" s="5" t="n"/>
      <c r="E880" s="6" t="n"/>
      <c r="F880" s="6" t="n"/>
    </row>
    <row r="881">
      <c r="C881" s="5" t="n"/>
      <c r="E881" s="6" t="n"/>
      <c r="F881" s="6" t="n"/>
    </row>
    <row r="882">
      <c r="C882" s="5" t="n"/>
      <c r="E882" s="6" t="n"/>
      <c r="F882" s="6" t="n"/>
    </row>
    <row r="883">
      <c r="C883" s="5" t="n"/>
      <c r="E883" s="6" t="n"/>
      <c r="F883" s="6" t="n"/>
    </row>
    <row r="884">
      <c r="C884" s="5" t="n"/>
      <c r="E884" s="6" t="n"/>
      <c r="F884" s="6" t="n"/>
    </row>
    <row r="885">
      <c r="C885" s="5" t="n"/>
      <c r="E885" s="6" t="n"/>
      <c r="F885" s="6" t="n"/>
    </row>
    <row r="886">
      <c r="C886" s="5" t="n"/>
      <c r="E886" s="6" t="n"/>
      <c r="F886" s="6" t="n"/>
    </row>
    <row r="887">
      <c r="C887" s="5" t="n"/>
      <c r="E887" s="6" t="n"/>
      <c r="F887" s="6" t="n"/>
    </row>
    <row r="888">
      <c r="C888" s="5" t="n"/>
      <c r="E888" s="6" t="n"/>
      <c r="F888" s="6" t="n"/>
    </row>
    <row r="889">
      <c r="C889" s="5" t="n"/>
      <c r="E889" s="6" t="n"/>
      <c r="F889" s="6" t="n"/>
    </row>
    <row r="890">
      <c r="C890" s="5" t="n"/>
      <c r="E890" s="6" t="n"/>
      <c r="F890" s="6" t="n"/>
    </row>
    <row r="891">
      <c r="C891" s="5" t="n"/>
      <c r="E891" s="6" t="n"/>
      <c r="F891" s="6" t="n"/>
    </row>
    <row r="892">
      <c r="C892" s="5" t="n"/>
      <c r="E892" s="6" t="n"/>
      <c r="F892" s="6" t="n"/>
    </row>
    <row r="893">
      <c r="C893" s="5" t="n"/>
      <c r="E893" s="6" t="n"/>
      <c r="F893" s="6" t="n"/>
    </row>
    <row r="894">
      <c r="C894" s="5" t="n"/>
      <c r="E894" s="6" t="n"/>
      <c r="F894" s="6" t="n"/>
    </row>
    <row r="895">
      <c r="C895" s="5" t="n"/>
      <c r="E895" s="6" t="n"/>
      <c r="F895" s="6" t="n"/>
    </row>
    <row r="896">
      <c r="C896" s="5" t="n"/>
      <c r="E896" s="6" t="n"/>
      <c r="F896" s="6" t="n"/>
    </row>
    <row r="897">
      <c r="C897" s="5" t="n"/>
      <c r="E897" s="6" t="n"/>
      <c r="F897" s="6" t="n"/>
    </row>
    <row r="898">
      <c r="C898" s="5" t="n"/>
      <c r="E898" s="6" t="n"/>
      <c r="F898" s="6" t="n"/>
    </row>
    <row r="899">
      <c r="C899" s="5" t="n"/>
      <c r="E899" s="6" t="n"/>
      <c r="F899" s="6" t="n"/>
    </row>
    <row r="900">
      <c r="C900" s="5" t="n"/>
      <c r="E900" s="6" t="n"/>
      <c r="F900" s="6" t="n"/>
    </row>
    <row r="901">
      <c r="C901" s="5" t="n"/>
      <c r="E901" s="6" t="n"/>
      <c r="F901" s="6" t="n"/>
    </row>
    <row r="902">
      <c r="C902" s="5" t="n"/>
      <c r="E902" s="6" t="n"/>
      <c r="F902" s="6" t="n"/>
    </row>
    <row r="903">
      <c r="C903" s="5" t="n"/>
      <c r="E903" s="6" t="n"/>
      <c r="F903" s="6" t="n"/>
    </row>
    <row r="904">
      <c r="C904" s="5" t="n"/>
      <c r="E904" s="6" t="n"/>
      <c r="F904" s="6" t="n"/>
    </row>
    <row r="905">
      <c r="C905" s="5" t="n"/>
      <c r="E905" s="6" t="n"/>
      <c r="F905" s="6" t="n"/>
    </row>
    <row r="906">
      <c r="C906" s="5" t="n"/>
      <c r="E906" s="6" t="n"/>
      <c r="F906" s="6" t="n"/>
    </row>
    <row r="907">
      <c r="C907" s="5" t="n"/>
      <c r="E907" s="6" t="n"/>
      <c r="F907" s="6" t="n"/>
    </row>
    <row r="908">
      <c r="C908" s="5" t="n"/>
      <c r="E908" s="6" t="n"/>
      <c r="F908" s="6" t="n"/>
    </row>
    <row r="909">
      <c r="C909" s="5" t="n"/>
      <c r="E909" s="6" t="n"/>
      <c r="F909" s="6" t="n"/>
    </row>
    <row r="910">
      <c r="C910" s="5" t="n"/>
      <c r="E910" s="6" t="n"/>
      <c r="F910" s="6" t="n"/>
    </row>
    <row r="911">
      <c r="C911" s="5" t="n"/>
      <c r="E911" s="6" t="n"/>
      <c r="F911" s="6" t="n"/>
    </row>
    <row r="912">
      <c r="C912" s="5" t="n"/>
      <c r="E912" s="6" t="n"/>
      <c r="F912" s="6" t="n"/>
    </row>
    <row r="913">
      <c r="C913" s="5" t="n"/>
      <c r="E913" s="6" t="n"/>
      <c r="F913" s="6" t="n"/>
    </row>
    <row r="914">
      <c r="C914" s="5" t="n"/>
      <c r="E914" s="6" t="n"/>
      <c r="F914" s="6" t="n"/>
    </row>
    <row r="915">
      <c r="C915" s="5" t="n"/>
      <c r="E915" s="6" t="n"/>
      <c r="F915" s="6" t="n"/>
    </row>
    <row r="916">
      <c r="C916" s="5" t="n"/>
      <c r="E916" s="6" t="n"/>
      <c r="F916" s="6" t="n"/>
    </row>
    <row r="917">
      <c r="C917" s="5" t="n"/>
      <c r="E917" s="6" t="n"/>
      <c r="F917" s="6" t="n"/>
    </row>
    <row r="918">
      <c r="C918" s="5" t="n"/>
      <c r="E918" s="6" t="n"/>
      <c r="F918" s="6" t="n"/>
    </row>
    <row r="919">
      <c r="C919" s="5" t="n"/>
      <c r="E919" s="6" t="n"/>
      <c r="F919" s="6" t="n"/>
    </row>
    <row r="920">
      <c r="C920" s="5" t="n"/>
      <c r="E920" s="6" t="n"/>
      <c r="F920" s="6" t="n"/>
    </row>
    <row r="921">
      <c r="C921" s="5" t="n"/>
      <c r="E921" s="6" t="n"/>
      <c r="F921" s="6" t="n"/>
    </row>
    <row r="922">
      <c r="C922" s="5" t="n"/>
      <c r="E922" s="6" t="n"/>
      <c r="F922" s="6" t="n"/>
    </row>
    <row r="923">
      <c r="C923" s="5" t="n"/>
      <c r="E923" s="6" t="n"/>
      <c r="F923" s="6" t="n"/>
    </row>
    <row r="924">
      <c r="C924" s="5" t="n"/>
      <c r="E924" s="6" t="n"/>
      <c r="F924" s="6" t="n"/>
    </row>
    <row r="925">
      <c r="C925" s="5" t="n"/>
      <c r="E925" s="6" t="n"/>
      <c r="F925" s="6" t="n"/>
    </row>
    <row r="926">
      <c r="C926" s="5" t="n"/>
      <c r="E926" s="6" t="n"/>
      <c r="F926" s="6" t="n"/>
    </row>
    <row r="927">
      <c r="C927" s="5" t="n"/>
      <c r="E927" s="6" t="n"/>
      <c r="F927" s="6" t="n"/>
    </row>
    <row r="928">
      <c r="C928" s="5" t="n"/>
      <c r="E928" s="6" t="n"/>
      <c r="F928" s="6" t="n"/>
    </row>
    <row r="929">
      <c r="C929" s="5" t="n"/>
      <c r="E929" s="6" t="n"/>
      <c r="F929" s="6" t="n"/>
    </row>
    <row r="930">
      <c r="C930" s="5" t="n"/>
      <c r="E930" s="6" t="n"/>
      <c r="F930" s="6" t="n"/>
    </row>
    <row r="931">
      <c r="C931" s="5" t="n"/>
      <c r="E931" s="6" t="n"/>
      <c r="F931" s="6" t="n"/>
    </row>
    <row r="932">
      <c r="C932" s="5" t="n"/>
      <c r="E932" s="6" t="n"/>
      <c r="F932" s="6" t="n"/>
    </row>
    <row r="933">
      <c r="C933" s="5" t="n"/>
      <c r="E933" s="6" t="n"/>
      <c r="F933" s="6" t="n"/>
    </row>
    <row r="934">
      <c r="C934" s="5" t="n"/>
      <c r="E934" s="6" t="n"/>
      <c r="F934" s="6" t="n"/>
    </row>
    <row r="935">
      <c r="C935" s="5" t="n"/>
      <c r="E935" s="6" t="n"/>
      <c r="F935" s="6" t="n"/>
    </row>
    <row r="936">
      <c r="C936" s="5" t="n"/>
      <c r="E936" s="6" t="n"/>
      <c r="F936" s="6" t="n"/>
    </row>
    <row r="937">
      <c r="C937" s="5" t="n"/>
      <c r="E937" s="6" t="n"/>
      <c r="F937" s="6" t="n"/>
    </row>
    <row r="938">
      <c r="C938" s="5" t="n"/>
      <c r="E938" s="6" t="n"/>
      <c r="F938" s="6" t="n"/>
    </row>
    <row r="939">
      <c r="C939" s="5" t="n"/>
      <c r="E939" s="6" t="n"/>
      <c r="F939" s="6" t="n"/>
    </row>
    <row r="940">
      <c r="C940" s="5" t="n"/>
      <c r="E940" s="6" t="n"/>
      <c r="F940" s="6" t="n"/>
    </row>
    <row r="941">
      <c r="C941" s="5" t="n"/>
      <c r="E941" s="6" t="n"/>
      <c r="F941" s="6" t="n"/>
    </row>
    <row r="942">
      <c r="C942" s="5" t="n"/>
      <c r="E942" s="6" t="n"/>
      <c r="F942" s="6" t="n"/>
    </row>
    <row r="943">
      <c r="C943" s="5" t="n"/>
      <c r="E943" s="6" t="n"/>
      <c r="F943" s="6" t="n"/>
    </row>
    <row r="944">
      <c r="C944" s="5" t="n"/>
      <c r="E944" s="6" t="n"/>
      <c r="F944" s="6" t="n"/>
    </row>
    <row r="945">
      <c r="C945" s="5" t="n"/>
      <c r="E945" s="6" t="n"/>
      <c r="F945" s="6" t="n"/>
    </row>
    <row r="946">
      <c r="C946" s="5" t="n"/>
      <c r="E946" s="6" t="n"/>
      <c r="F946" s="6" t="n"/>
    </row>
    <row r="947">
      <c r="C947" s="5" t="n"/>
      <c r="E947" s="6" t="n"/>
      <c r="F947" s="6" t="n"/>
    </row>
    <row r="948">
      <c r="C948" s="5" t="n"/>
      <c r="E948" s="6" t="n"/>
      <c r="F948" s="6" t="n"/>
    </row>
    <row r="949">
      <c r="C949" s="5" t="n"/>
      <c r="E949" s="6" t="n"/>
      <c r="F949" s="6" t="n"/>
    </row>
    <row r="950">
      <c r="C950" s="5" t="n"/>
      <c r="E950" s="6" t="n"/>
      <c r="F950" s="6" t="n"/>
    </row>
    <row r="951">
      <c r="C951" s="5" t="n"/>
      <c r="E951" s="6" t="n"/>
      <c r="F951" s="6" t="n"/>
    </row>
    <row r="952">
      <c r="C952" s="5" t="n"/>
      <c r="E952" s="6" t="n"/>
      <c r="F952" s="6" t="n"/>
    </row>
    <row r="953">
      <c r="C953" s="5" t="n"/>
      <c r="E953" s="6" t="n"/>
      <c r="F953" s="6" t="n"/>
    </row>
    <row r="954">
      <c r="C954" s="5" t="n"/>
      <c r="E954" s="6" t="n"/>
      <c r="F954" s="6" t="n"/>
    </row>
    <row r="955">
      <c r="C955" s="5" t="n"/>
      <c r="E955" s="6" t="n"/>
      <c r="F955" s="6" t="n"/>
    </row>
    <row r="956">
      <c r="C956" s="5" t="n"/>
      <c r="E956" s="6" t="n"/>
      <c r="F956" s="6" t="n"/>
    </row>
    <row r="957">
      <c r="C957" s="5" t="n"/>
      <c r="E957" s="6" t="n"/>
      <c r="F957" s="6" t="n"/>
    </row>
    <row r="958">
      <c r="C958" s="5" t="n"/>
      <c r="E958" s="6" t="n"/>
      <c r="F958" s="6" t="n"/>
    </row>
    <row r="959">
      <c r="C959" s="5" t="n"/>
      <c r="E959" s="6" t="n"/>
      <c r="F959" s="6" t="n"/>
    </row>
    <row r="960">
      <c r="C960" s="5" t="n"/>
      <c r="E960" s="6" t="n"/>
      <c r="F960" s="6" t="n"/>
    </row>
    <row r="961">
      <c r="C961" s="5" t="n"/>
      <c r="E961" s="6" t="n"/>
      <c r="F961" s="6" t="n"/>
    </row>
    <row r="962">
      <c r="C962" s="5" t="n"/>
      <c r="E962" s="6" t="n"/>
      <c r="F962" s="6" t="n"/>
    </row>
    <row r="963">
      <c r="C963" s="5" t="n"/>
      <c r="E963" s="6" t="n"/>
      <c r="F963" s="6" t="n"/>
    </row>
    <row r="964">
      <c r="C964" s="5" t="n"/>
      <c r="E964" s="6" t="n"/>
      <c r="F964" s="6" t="n"/>
    </row>
    <row r="965">
      <c r="C965" s="5" t="n"/>
      <c r="E965" s="6" t="n"/>
      <c r="F965" s="6" t="n"/>
    </row>
    <row r="966">
      <c r="C966" s="5" t="n"/>
      <c r="E966" s="6" t="n"/>
      <c r="F966" s="6" t="n"/>
    </row>
    <row r="967">
      <c r="C967" s="5" t="n"/>
      <c r="E967" s="6" t="n"/>
      <c r="F967" s="6" t="n"/>
    </row>
    <row r="968">
      <c r="C968" s="5" t="n"/>
      <c r="E968" s="6" t="n"/>
      <c r="F968" s="6" t="n"/>
    </row>
    <row r="969">
      <c r="C969" s="5" t="n"/>
      <c r="E969" s="6" t="n"/>
      <c r="F969" s="6" t="n"/>
    </row>
    <row r="970">
      <c r="C970" s="5" t="n"/>
      <c r="E970" s="6" t="n"/>
      <c r="F970" s="6" t="n"/>
    </row>
    <row r="971">
      <c r="C971" s="5" t="n"/>
      <c r="E971" s="6" t="n"/>
      <c r="F971" s="6" t="n"/>
    </row>
    <row r="972">
      <c r="C972" s="5" t="n"/>
      <c r="E972" s="6" t="n"/>
      <c r="F972" s="6" t="n"/>
    </row>
    <row r="973">
      <c r="C973" s="5" t="n"/>
      <c r="E973" s="6" t="n"/>
      <c r="F973" s="6" t="n"/>
    </row>
    <row r="974">
      <c r="C974" s="5" t="n"/>
      <c r="E974" s="6" t="n"/>
      <c r="F974" s="6" t="n"/>
    </row>
    <row r="975">
      <c r="C975" s="5" t="n"/>
      <c r="E975" s="6" t="n"/>
      <c r="F975" s="6" t="n"/>
    </row>
    <row r="976">
      <c r="C976" s="5" t="n"/>
      <c r="E976" s="6" t="n"/>
      <c r="F976" s="6" t="n"/>
    </row>
    <row r="977">
      <c r="C977" s="5" t="n"/>
      <c r="E977" s="6" t="n"/>
      <c r="F977" s="6" t="n"/>
    </row>
    <row r="978">
      <c r="C978" s="5" t="n"/>
      <c r="E978" s="6" t="n"/>
      <c r="F978" s="6" t="n"/>
    </row>
    <row r="979">
      <c r="C979" s="5" t="n"/>
      <c r="E979" s="6" t="n"/>
      <c r="F979" s="6" t="n"/>
    </row>
    <row r="980">
      <c r="C980" s="5" t="n"/>
      <c r="E980" s="6" t="n"/>
      <c r="F980" s="6" t="n"/>
    </row>
    <row r="981">
      <c r="C981" s="5" t="n"/>
      <c r="E981" s="6" t="n"/>
      <c r="F981" s="6" t="n"/>
    </row>
    <row r="982">
      <c r="C982" s="5" t="n"/>
      <c r="E982" s="6" t="n"/>
      <c r="F982" s="6" t="n"/>
    </row>
    <row r="983">
      <c r="C983" s="5" t="n"/>
      <c r="E983" s="6" t="n"/>
      <c r="F983" s="6" t="n"/>
    </row>
    <row r="984">
      <c r="C984" s="5" t="n"/>
      <c r="E984" s="6" t="n"/>
      <c r="F984" s="6" t="n"/>
    </row>
    <row r="985">
      <c r="C985" s="5" t="n"/>
      <c r="E985" s="6" t="n"/>
      <c r="F985" s="6" t="n"/>
    </row>
    <row r="986">
      <c r="C986" s="5" t="n"/>
      <c r="E986" s="6" t="n"/>
      <c r="F986" s="6" t="n"/>
    </row>
    <row r="987">
      <c r="C987" s="5" t="n"/>
      <c r="E987" s="6" t="n"/>
      <c r="F987" s="6" t="n"/>
    </row>
    <row r="988">
      <c r="C988" s="5" t="n"/>
      <c r="E988" s="6" t="n"/>
      <c r="F988" s="6" t="n"/>
    </row>
    <row r="989">
      <c r="C989" s="5" t="n"/>
      <c r="E989" s="6" t="n"/>
      <c r="F989" s="6" t="n"/>
    </row>
    <row r="990">
      <c r="C990" s="5" t="n"/>
      <c r="E990" s="6" t="n"/>
      <c r="F990" s="6" t="n"/>
    </row>
    <row r="991">
      <c r="C991" s="5" t="n"/>
      <c r="E991" s="6" t="n"/>
      <c r="F991" s="6" t="n"/>
    </row>
    <row r="992">
      <c r="C992" s="5" t="n"/>
      <c r="E992" s="6" t="n"/>
      <c r="F992" s="6" t="n"/>
    </row>
    <row r="993">
      <c r="C993" s="5" t="n"/>
      <c r="E993" s="6" t="n"/>
      <c r="F993" s="6" t="n"/>
    </row>
    <row r="994">
      <c r="C994" s="5" t="n"/>
      <c r="E994" s="6" t="n"/>
      <c r="F994" s="6" t="n"/>
    </row>
    <row r="995">
      <c r="C995" s="5" t="n"/>
      <c r="E995" s="6" t="n"/>
      <c r="F995" s="6" t="n"/>
    </row>
    <row r="996">
      <c r="C996" s="5" t="n"/>
      <c r="E996" s="6" t="n"/>
      <c r="F996" s="6" t="n"/>
    </row>
    <row r="997">
      <c r="C997" s="5" t="n"/>
      <c r="E997" s="6" t="n"/>
      <c r="F997" s="6" t="n"/>
    </row>
    <row r="998">
      <c r="C998" s="5" t="n"/>
      <c r="E998" s="6" t="n"/>
      <c r="F998" s="6" t="n"/>
    </row>
    <row r="999">
      <c r="C999" s="5" t="n"/>
      <c r="E999" s="6" t="n"/>
      <c r="F999" s="6" t="n"/>
    </row>
    <row r="1000">
      <c r="C1000" s="5" t="n"/>
      <c r="E1000" s="6" t="n"/>
      <c r="F1000" s="6" t="n"/>
    </row>
    <row r="1001">
      <c r="C1001" s="5" t="n"/>
      <c r="E1001" s="6" t="n"/>
      <c r="F1001" s="6" t="n"/>
    </row>
  </sheetData>
  <autoFilter ref="A1:K1001"/>
  <conditionalFormatting sqref="E2:F1001">
    <cfRule type="expression" priority="1" dxfId="0" stopIfTrue="1">
      <formula>AND($E2&lt;&gt;"",$F2&lt;&gt;"",ROUND(($F2-$E2)*1440,0)&lt;=0)</formula>
    </cfRule>
    <cfRule type="expression" priority="2" dxfId="1">
      <formula>AND($E2&lt;&gt;"",$F2&lt;&gt;"",ROUND(($F2-$E2)*1440,0)&lt;60)</formula>
    </cfRule>
  </conditionalFormatting>
  <dataValidations count="5">
    <dataValidation sqref="E2:F1001" showDropDown="0" showInputMessage="0" showErrorMessage="1" allowBlank="1" errorTitle="Geen tijd" error="Vul een tijd in, bijvoorbeeld 07:30." type="time" operator="between">
      <formula1>0</formula1>
      <formula2>0.999988426</formula2>
    </dataValidation>
    <dataValidation sqref="G2:G1001" showDropDown="0" showInputMessage="0" showErrorMessage="1" allowBlank="1" errorTitle="Geen aantal" error="Vul een getal in: het aantal pallets of rolcontainers." type="decimal" operator="greaterThanOrEqual">
      <formula1>0</formula1>
    </dataValidation>
    <dataValidation sqref="H2:H1001" showDropDown="0" showInputMessage="0" showErrorMessage="1" allowBlank="1" errorTitle="Geen lostijd" error="Vul de lostijd in hele minuten in, bijvoorbeeld 15." type="whole" operator="between">
      <formula1>0</formula1>
      <formula2>600</formula2>
    </dataValidation>
    <dataValidation sqref="J2:J1001" showDropDown="0" showInputMessage="0" showErrorMessage="1" allowBlank="1" errorTitle="Onbekende wagen" error="Kies een wagen uit het blad Wagens, of laat het vak leeg." type="list">
      <formula1>Wagens!$A$2:$A$31</formula1>
    </dataValidation>
    <dataValidation sqref="K2:K1001" showDropDown="0" showInputMessage="0" showErrorMessage="1" allowBlank="1" errorTitle="Geen volgorde" error="Vul een heel getal in: 1 voor de eerste stop van de wagen." type="whole" operator="between">
      <formula1>1</formula1>
      <formula2>1000</formula2>
    </dataValidation>
  </dataValidations>
  <pageMargins left="0.75" right="0.75" top="1" bottom="1" header="0.5" footer="0.5"/>
  <pageSetup orientation="landscape" paperSize="9"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H31"/>
  <sheetViews>
    <sheetView workbookViewId="0">
      <pane ySplit="1" topLeftCell="A2" activePane="bottomLeft" state="frozen"/>
      <selection pane="bottomLeft" activeCell="A1" sqref="A1"/>
    </sheetView>
  </sheetViews>
  <sheetFormatPr baseColWidth="8" defaultRowHeight="15"/>
  <cols>
    <col width="18" customWidth="1" min="1" max="1"/>
    <col width="24" customWidth="1" min="2" max="2"/>
    <col width="20" customWidth="1" min="3" max="3"/>
    <col width="14" customWidth="1" min="4" max="4"/>
    <col width="14" customWidth="1" min="5" max="5"/>
    <col width="14" customWidth="1" min="6" max="6"/>
    <col width="14" customWidth="1" min="7" max="7"/>
    <col width="44" customWidth="1" min="8" max="8"/>
  </cols>
  <sheetData>
    <row r="1" ht="32" customHeight="1">
      <c r="A1" s="1" t="inlineStr">
        <is>
          <t>Naam</t>
        </is>
      </c>
      <c r="B1" s="1" t="inlineStr">
        <is>
          <t>Type</t>
        </is>
      </c>
      <c r="C1" s="1" t="inlineStr">
        <is>
          <t>Capaciteit (zelfde eenheid als Aantal)</t>
        </is>
      </c>
      <c r="D1" s="1" t="inlineStr">
        <is>
          <t>Start werkdag</t>
        </is>
      </c>
      <c r="E1" s="1" t="inlineStr">
        <is>
          <t>Einde werkdag</t>
        </is>
      </c>
      <c r="F1" s="1" t="inlineStr">
        <is>
          <t>Kosten per km (euro)</t>
        </is>
      </c>
      <c r="G1" s="1" t="inlineStr">
        <is>
          <t>Kosten per uur (euro)</t>
        </is>
      </c>
      <c r="H1" s="1" t="inlineStr">
        <is>
          <t>Vertrekadres (depot)</t>
        </is>
      </c>
    </row>
    <row r="2">
      <c r="A2" s="2" t="inlineStr">
        <is>
          <t>Wagen 1</t>
        </is>
      </c>
      <c r="B2" s="2" t="inlineStr">
        <is>
          <t>bakwagen</t>
        </is>
      </c>
      <c r="C2" s="2" t="n">
        <v>18</v>
      </c>
      <c r="D2" s="4" t="n">
        <v>0.25</v>
      </c>
      <c r="E2" s="4" t="n">
        <v>0.625</v>
      </c>
      <c r="F2" s="7" t="n"/>
      <c r="G2" s="7" t="n"/>
      <c r="H2" s="2" t="inlineStr">
        <is>
          <t>Voorbeeldhaven 1, 0001 AZ Voorbeeldstad</t>
        </is>
      </c>
    </row>
    <row r="3">
      <c r="A3" s="2" t="inlineStr">
        <is>
          <t>Wagen 2</t>
        </is>
      </c>
      <c r="B3" s="2" t="inlineStr">
        <is>
          <t>bakwagen</t>
        </is>
      </c>
      <c r="C3" s="2" t="n">
        <v>18</v>
      </c>
      <c r="D3" s="4" t="n">
        <v>0.25</v>
      </c>
      <c r="E3" s="4" t="n">
        <v>0.625</v>
      </c>
      <c r="F3" s="7" t="n"/>
      <c r="G3" s="7" t="n"/>
      <c r="H3" s="2" t="inlineStr">
        <is>
          <t>Voorbeeldhaven 1, 0001 AZ Voorbeeldstad</t>
        </is>
      </c>
    </row>
    <row r="4">
      <c r="A4" s="2" t="inlineStr">
        <is>
          <t>Bus 1</t>
        </is>
      </c>
      <c r="B4" s="2" t="inlineStr">
        <is>
          <t>bestelbus</t>
        </is>
      </c>
      <c r="C4" s="2" t="n">
        <v>4</v>
      </c>
      <c r="D4" s="4" t="n">
        <v>0.2916666666666667</v>
      </c>
      <c r="E4" s="4" t="n">
        <v>0.6666666666666666</v>
      </c>
      <c r="F4" s="7" t="n"/>
      <c r="G4" s="7" t="n"/>
      <c r="H4" s="2" t="inlineStr">
        <is>
          <t>Voorbeeldhaven 1, 0001 AZ Voorbeeldstad</t>
        </is>
      </c>
    </row>
    <row r="5">
      <c r="D5" s="6" t="n"/>
      <c r="E5" s="6" t="n"/>
      <c r="F5" s="8" t="n"/>
      <c r="G5" s="8" t="n"/>
    </row>
    <row r="6">
      <c r="D6" s="6" t="n"/>
      <c r="E6" s="6" t="n"/>
      <c r="F6" s="8" t="n"/>
      <c r="G6" s="8" t="n"/>
    </row>
    <row r="7">
      <c r="D7" s="6" t="n"/>
      <c r="E7" s="6" t="n"/>
      <c r="F7" s="8" t="n"/>
      <c r="G7" s="8" t="n"/>
    </row>
    <row r="8">
      <c r="D8" s="6" t="n"/>
      <c r="E8" s="6" t="n"/>
      <c r="F8" s="8" t="n"/>
      <c r="G8" s="8" t="n"/>
    </row>
    <row r="9">
      <c r="D9" s="6" t="n"/>
      <c r="E9" s="6" t="n"/>
      <c r="F9" s="8" t="n"/>
      <c r="G9" s="8" t="n"/>
    </row>
    <row r="10">
      <c r="D10" s="6" t="n"/>
      <c r="E10" s="6" t="n"/>
      <c r="F10" s="8" t="n"/>
      <c r="G10" s="8" t="n"/>
    </row>
    <row r="11">
      <c r="D11" s="6" t="n"/>
      <c r="E11" s="6" t="n"/>
      <c r="F11" s="8" t="n"/>
      <c r="G11" s="8" t="n"/>
    </row>
    <row r="12">
      <c r="D12" s="6" t="n"/>
      <c r="E12" s="6" t="n"/>
      <c r="F12" s="8" t="n"/>
      <c r="G12" s="8" t="n"/>
    </row>
    <row r="13">
      <c r="D13" s="6" t="n"/>
      <c r="E13" s="6" t="n"/>
      <c r="F13" s="8" t="n"/>
      <c r="G13" s="8" t="n"/>
    </row>
    <row r="14">
      <c r="D14" s="6" t="n"/>
      <c r="E14" s="6" t="n"/>
      <c r="F14" s="8" t="n"/>
      <c r="G14" s="8" t="n"/>
    </row>
    <row r="15">
      <c r="D15" s="6" t="n"/>
      <c r="E15" s="6" t="n"/>
      <c r="F15" s="8" t="n"/>
      <c r="G15" s="8" t="n"/>
    </row>
    <row r="16">
      <c r="D16" s="6" t="n"/>
      <c r="E16" s="6" t="n"/>
      <c r="F16" s="8" t="n"/>
      <c r="G16" s="8" t="n"/>
    </row>
    <row r="17">
      <c r="D17" s="6" t="n"/>
      <c r="E17" s="6" t="n"/>
      <c r="F17" s="8" t="n"/>
      <c r="G17" s="8" t="n"/>
    </row>
    <row r="18">
      <c r="D18" s="6" t="n"/>
      <c r="E18" s="6" t="n"/>
      <c r="F18" s="8" t="n"/>
      <c r="G18" s="8" t="n"/>
    </row>
    <row r="19">
      <c r="D19" s="6" t="n"/>
      <c r="E19" s="6" t="n"/>
      <c r="F19" s="8" t="n"/>
      <c r="G19" s="8" t="n"/>
    </row>
    <row r="20">
      <c r="D20" s="6" t="n"/>
      <c r="E20" s="6" t="n"/>
      <c r="F20" s="8" t="n"/>
      <c r="G20" s="8" t="n"/>
    </row>
    <row r="21">
      <c r="D21" s="6" t="n"/>
      <c r="E21" s="6" t="n"/>
      <c r="F21" s="8" t="n"/>
      <c r="G21" s="8" t="n"/>
    </row>
    <row r="22">
      <c r="D22" s="6" t="n"/>
      <c r="E22" s="6" t="n"/>
      <c r="F22" s="8" t="n"/>
      <c r="G22" s="8" t="n"/>
    </row>
    <row r="23">
      <c r="D23" s="6" t="n"/>
      <c r="E23" s="6" t="n"/>
      <c r="F23" s="8" t="n"/>
      <c r="G23" s="8" t="n"/>
    </row>
    <row r="24">
      <c r="D24" s="6" t="n"/>
      <c r="E24" s="6" t="n"/>
      <c r="F24" s="8" t="n"/>
      <c r="G24" s="8" t="n"/>
    </row>
    <row r="25">
      <c r="D25" s="6" t="n"/>
      <c r="E25" s="6" t="n"/>
      <c r="F25" s="8" t="n"/>
      <c r="G25" s="8" t="n"/>
    </row>
    <row r="26">
      <c r="D26" s="6" t="n"/>
      <c r="E26" s="6" t="n"/>
      <c r="F26" s="8" t="n"/>
      <c r="G26" s="8" t="n"/>
    </row>
    <row r="27">
      <c r="D27" s="6" t="n"/>
      <c r="E27" s="6" t="n"/>
      <c r="F27" s="8" t="n"/>
      <c r="G27" s="8" t="n"/>
    </row>
    <row r="28">
      <c r="D28" s="6" t="n"/>
      <c r="E28" s="6" t="n"/>
      <c r="F28" s="8" t="n"/>
      <c r="G28" s="8" t="n"/>
    </row>
    <row r="29">
      <c r="D29" s="6" t="n"/>
      <c r="E29" s="6" t="n"/>
      <c r="F29" s="8" t="n"/>
      <c r="G29" s="8" t="n"/>
    </row>
    <row r="30">
      <c r="D30" s="6" t="n"/>
      <c r="E30" s="6" t="n"/>
      <c r="F30" s="8" t="n"/>
      <c r="G30" s="8" t="n"/>
    </row>
    <row r="31">
      <c r="D31" s="6" t="n"/>
      <c r="E31" s="6" t="n"/>
      <c r="F31" s="8" t="n"/>
      <c r="G31" s="8" t="n"/>
    </row>
  </sheetData>
  <dataValidations count="4">
    <dataValidation sqref="B2:B31" showDropDown="0" showInputMessage="0" showErrorMessage="1" allowBlank="1" errorTitle="Onbekend type" error="Kies bestelbus, bakwagen, trekker met oplegger of anders." type="list">
      <formula1>"bestelbus,bakwagen,trekker met oplegger,anders"</formula1>
    </dataValidation>
    <dataValidation sqref="C2:C31" showDropDown="0" showInputMessage="0" showErrorMessage="1" allowBlank="1" errorTitle="Geen capaciteit" error="Vul een getal in: hoeveel pallets of rolcontainers er in de wagen passen." type="decimal" operator="greaterThanOrEqual">
      <formula1>0</formula1>
    </dataValidation>
    <dataValidation sqref="D2:E31" showDropDown="0" showInputMessage="0" showErrorMessage="1" allowBlank="1" errorTitle="Geen tijd" error="Vul een tijd in, bijvoorbeeld 06:00." type="time" operator="between">
      <formula1>0</formula1>
      <formula2>0.999988426</formula2>
    </dataValidation>
    <dataValidation sqref="F2:G31" showDropDown="0" showInputMessage="0" showErrorMessage="1" allowBlank="1" errorTitle="Geen bedrag" error="Vul een bedrag in euro in, bijvoorbeeld 0,50." type="decimal" operator="greaterThanOrEqual">
      <formula1>0</formula1>
    </dataValidation>
  </dataValidations>
  <pageMargins left="0.75" right="0.75" top="1" bottom="1" header="0.5" footer="0.5"/>
  <pageSetup orientation="landscape" paperSize="9"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G1049"/>
  <sheetViews>
    <sheetView workbookViewId="0">
      <pane ySplit="1" topLeftCell="A2" activePane="bottomLeft" state="frozen"/>
      <selection pane="bottomLeft" activeCell="A1" sqref="A1"/>
    </sheetView>
  </sheetViews>
  <sheetFormatPr baseColWidth="8" defaultRowHeight="15"/>
  <cols>
    <col width="44" customWidth="1" min="1" max="1"/>
    <col width="46" customWidth="1" min="2" max="2"/>
    <col width="3" customWidth="1" min="3" max="3"/>
    <col width="20" customWidth="1" min="4" max="4"/>
    <col width="14" customWidth="1" min="5" max="5"/>
    <col width="10" customWidth="1" min="6" max="6"/>
    <col width="15" customWidth="1" min="7" max="7"/>
  </cols>
  <sheetData>
    <row r="1">
      <c r="A1" s="9" t="inlineStr">
        <is>
          <t>Dagoverzicht</t>
        </is>
      </c>
      <c r="B1" s="10" t="inlineStr">
        <is>
          <t>Dit blad rekent zelf. Vul alleen de bladen Stops en Wagens in.</t>
        </is>
      </c>
    </row>
    <row r="3">
      <c r="A3" s="11" t="inlineStr">
        <is>
          <t>Eenheid van Aantal en Capaciteit</t>
        </is>
      </c>
      <c r="B3" s="12" t="inlineStr">
        <is>
          <t>pallets</t>
        </is>
      </c>
    </row>
    <row r="4">
      <c r="A4" s="11" t="inlineStr">
        <is>
          <t>Aantal stops</t>
        </is>
      </c>
      <c r="B4" s="13">
        <f>COUNTA(Stops!$A$2:$A$1001)</f>
        <v/>
      </c>
    </row>
    <row r="5">
      <c r="A5" s="11" t="inlineStr">
        <is>
          <t>Totaal aantal</t>
        </is>
      </c>
      <c r="B5" s="14">
        <f>SUM(Stops!$G$2:$G$1001)</f>
        <v/>
      </c>
    </row>
    <row r="6">
      <c r="A6" s="11" t="inlineStr">
        <is>
          <t>Aantal wagens</t>
        </is>
      </c>
      <c r="B6" s="13">
        <f>COUNTA(Wagens!$A$2:$A$31)</f>
        <v/>
      </c>
    </row>
    <row r="7">
      <c r="A7" s="11" t="inlineStr">
        <is>
          <t>Totale capaciteit van alle wagens</t>
        </is>
      </c>
      <c r="B7" s="14">
        <f>SUM(Wagens!$C$2:$C$31)</f>
        <v/>
      </c>
    </row>
    <row r="8">
      <c r="A8" s="11" t="inlineStr">
        <is>
          <t>Aantal tegenover capaciteit</t>
        </is>
      </c>
      <c r="B8" s="15">
        <f>IF(B7&gt;0,B5/B7,"")</f>
        <v/>
      </c>
    </row>
    <row r="9">
      <c r="A9" s="11" t="inlineStr">
        <is>
          <t>Past de dag in één rit per wagen?</t>
        </is>
      </c>
      <c r="B9" s="16">
        <f>IF(B7=0,"vul de capaciteit in op het blad Wagens",IF(B5&lt;=B7,"ja","nee: er zijn meer ritten of meer wagens nodig"))</f>
        <v/>
      </c>
    </row>
    <row r="10">
      <c r="A10" s="11" t="inlineStr">
        <is>
          <t>Totale lostijd (uren)</t>
        </is>
      </c>
      <c r="B10" s="17">
        <f>SUM(Stops!$H$2:$H$1001)/60</f>
        <v/>
      </c>
    </row>
    <row r="11">
      <c r="A11" s="11" t="inlineStr">
        <is>
          <t>Stops met een venster korter dan een uur</t>
        </is>
      </c>
      <c r="B11" s="13">
        <f>SUMPRODUCT((Stops!$E$2:$E$1001&lt;&gt;"")*(Stops!$F$2:$F$1001&lt;&gt;"")*(ROUND((Stops!$F$2:$F$1001-Stops!$E$2:$E$1001)*1440,0)&lt;60))</f>
        <v/>
      </c>
    </row>
    <row r="12">
      <c r="A12" s="11" t="inlineStr">
        <is>
          <t>Stops zonder venster</t>
        </is>
      </c>
      <c r="B12" s="13">
        <f>SUMPRODUCT((Stops!$A$2:$A$1001&lt;&gt;"")*((Stops!$E$2:$E$1001="")+(Stops!$F$2:$F$1001="")&gt;0))</f>
        <v/>
      </c>
    </row>
    <row r="13">
      <c r="A13" s="11" t="inlineStr">
        <is>
          <t>Stops die nog niet op een wagen staan</t>
        </is>
      </c>
      <c r="B13" s="13">
        <f>SUMPRODUCT((Stops!$A$2:$A$1001&lt;&gt;"")*(Stops!$J$2:$J$1001=""))</f>
        <v/>
      </c>
    </row>
    <row r="15">
      <c r="A15" s="18" t="inlineStr">
        <is>
          <t>Per wagen (uit de kolom Wagen op het blad Stops)</t>
        </is>
      </c>
    </row>
    <row r="16">
      <c r="A16" s="19" t="inlineStr">
        <is>
          <t>Wagen</t>
        </is>
      </c>
      <c r="B16" s="19" t="inlineStr">
        <is>
          <t>Let op</t>
        </is>
      </c>
      <c r="D16" s="19" t="inlineStr">
        <is>
          <t>Capaciteit</t>
        </is>
      </c>
      <c r="E16" s="19" t="inlineStr">
        <is>
          <t>Stops</t>
        </is>
      </c>
      <c r="F16" s="19" t="inlineStr">
        <is>
          <t>Aantal</t>
        </is>
      </c>
      <c r="G16" s="19" t="inlineStr">
        <is>
          <t>Lostijd (uren)</t>
        </is>
      </c>
    </row>
    <row r="17">
      <c r="A17">
        <f>IF(Wagens!A2="","",Wagens!A2)</f>
        <v/>
      </c>
      <c r="B17">
        <f>IF(A17="","",IF(N(F17)&gt;N(D17),"te vol voor één rit: "&amp;(N(F17)-N(D17))&amp;" te veel",IF(E17=0,"nog geen stops","")))</f>
        <v/>
      </c>
      <c r="D17">
        <f>IF(A17="","",Wagens!C2)</f>
        <v/>
      </c>
      <c r="E17">
        <f>IF(A17="","",COUNTIF(Stops!$J$2:$J$1001,A17))</f>
        <v/>
      </c>
      <c r="F17">
        <f>IF(A17="","",SUMIF(Stops!$J$2:$J$1001,A17,Stops!$G$2:$G$1001))</f>
        <v/>
      </c>
      <c r="G17" s="20">
        <f>IF(A17="","",SUMIF(Stops!$J$2:$J$1001,A17,Stops!$H$2:$H$1001)/60)</f>
        <v/>
      </c>
    </row>
    <row r="18">
      <c r="A18">
        <f>IF(Wagens!A3="","",Wagens!A3)</f>
        <v/>
      </c>
      <c r="B18">
        <f>IF(A18="","",IF(N(F18)&gt;N(D18),"te vol voor één rit: "&amp;(N(F18)-N(D18))&amp;" te veel",IF(E18=0,"nog geen stops","")))</f>
        <v/>
      </c>
      <c r="D18">
        <f>IF(A18="","",Wagens!C3)</f>
        <v/>
      </c>
      <c r="E18">
        <f>IF(A18="","",COUNTIF(Stops!$J$2:$J$1001,A18))</f>
        <v/>
      </c>
      <c r="F18">
        <f>IF(A18="","",SUMIF(Stops!$J$2:$J$1001,A18,Stops!$G$2:$G$1001))</f>
        <v/>
      </c>
      <c r="G18" s="20">
        <f>IF(A18="","",SUMIF(Stops!$J$2:$J$1001,A18,Stops!$H$2:$H$1001)/60)</f>
        <v/>
      </c>
    </row>
    <row r="19">
      <c r="A19">
        <f>IF(Wagens!A4="","",Wagens!A4)</f>
        <v/>
      </c>
      <c r="B19">
        <f>IF(A19="","",IF(N(F19)&gt;N(D19),"te vol voor één rit: "&amp;(N(F19)-N(D19))&amp;" te veel",IF(E19=0,"nog geen stops","")))</f>
        <v/>
      </c>
      <c r="D19">
        <f>IF(A19="","",Wagens!C4)</f>
        <v/>
      </c>
      <c r="E19">
        <f>IF(A19="","",COUNTIF(Stops!$J$2:$J$1001,A19))</f>
        <v/>
      </c>
      <c r="F19">
        <f>IF(A19="","",SUMIF(Stops!$J$2:$J$1001,A19,Stops!$G$2:$G$1001))</f>
        <v/>
      </c>
      <c r="G19" s="20">
        <f>IF(A19="","",SUMIF(Stops!$J$2:$J$1001,A19,Stops!$H$2:$H$1001)/60)</f>
        <v/>
      </c>
    </row>
    <row r="20">
      <c r="A20">
        <f>IF(Wagens!A5="","",Wagens!A5)</f>
        <v/>
      </c>
      <c r="B20">
        <f>IF(A20="","",IF(N(F20)&gt;N(D20),"te vol voor één rit: "&amp;(N(F20)-N(D20))&amp;" te veel",IF(E20=0,"nog geen stops","")))</f>
        <v/>
      </c>
      <c r="D20">
        <f>IF(A20="","",Wagens!C5)</f>
        <v/>
      </c>
      <c r="E20">
        <f>IF(A20="","",COUNTIF(Stops!$J$2:$J$1001,A20))</f>
        <v/>
      </c>
      <c r="F20">
        <f>IF(A20="","",SUMIF(Stops!$J$2:$J$1001,A20,Stops!$G$2:$G$1001))</f>
        <v/>
      </c>
      <c r="G20" s="20">
        <f>IF(A20="","",SUMIF(Stops!$J$2:$J$1001,A20,Stops!$H$2:$H$1001)/60)</f>
        <v/>
      </c>
    </row>
    <row r="21">
      <c r="A21">
        <f>IF(Wagens!A6="","",Wagens!A6)</f>
        <v/>
      </c>
      <c r="B21">
        <f>IF(A21="","",IF(N(F21)&gt;N(D21),"te vol voor één rit: "&amp;(N(F21)-N(D21))&amp;" te veel",IF(E21=0,"nog geen stops","")))</f>
        <v/>
      </c>
      <c r="D21">
        <f>IF(A21="","",Wagens!C6)</f>
        <v/>
      </c>
      <c r="E21">
        <f>IF(A21="","",COUNTIF(Stops!$J$2:$J$1001,A21))</f>
        <v/>
      </c>
      <c r="F21">
        <f>IF(A21="","",SUMIF(Stops!$J$2:$J$1001,A21,Stops!$G$2:$G$1001))</f>
        <v/>
      </c>
      <c r="G21" s="20">
        <f>IF(A21="","",SUMIF(Stops!$J$2:$J$1001,A21,Stops!$H$2:$H$1001)/60)</f>
        <v/>
      </c>
    </row>
    <row r="22">
      <c r="A22">
        <f>IF(Wagens!A7="","",Wagens!A7)</f>
        <v/>
      </c>
      <c r="B22">
        <f>IF(A22="","",IF(N(F22)&gt;N(D22),"te vol voor één rit: "&amp;(N(F22)-N(D22))&amp;" te veel",IF(E22=0,"nog geen stops","")))</f>
        <v/>
      </c>
      <c r="D22">
        <f>IF(A22="","",Wagens!C7)</f>
        <v/>
      </c>
      <c r="E22">
        <f>IF(A22="","",COUNTIF(Stops!$J$2:$J$1001,A22))</f>
        <v/>
      </c>
      <c r="F22">
        <f>IF(A22="","",SUMIF(Stops!$J$2:$J$1001,A22,Stops!$G$2:$G$1001))</f>
        <v/>
      </c>
      <c r="G22" s="20">
        <f>IF(A22="","",SUMIF(Stops!$J$2:$J$1001,A22,Stops!$H$2:$H$1001)/60)</f>
        <v/>
      </c>
    </row>
    <row r="23">
      <c r="A23">
        <f>IF(Wagens!A8="","",Wagens!A8)</f>
        <v/>
      </c>
      <c r="B23">
        <f>IF(A23="","",IF(N(F23)&gt;N(D23),"te vol voor één rit: "&amp;(N(F23)-N(D23))&amp;" te veel",IF(E23=0,"nog geen stops","")))</f>
        <v/>
      </c>
      <c r="D23">
        <f>IF(A23="","",Wagens!C8)</f>
        <v/>
      </c>
      <c r="E23">
        <f>IF(A23="","",COUNTIF(Stops!$J$2:$J$1001,A23))</f>
        <v/>
      </c>
      <c r="F23">
        <f>IF(A23="","",SUMIF(Stops!$J$2:$J$1001,A23,Stops!$G$2:$G$1001))</f>
        <v/>
      </c>
      <c r="G23" s="20">
        <f>IF(A23="","",SUMIF(Stops!$J$2:$J$1001,A23,Stops!$H$2:$H$1001)/60)</f>
        <v/>
      </c>
    </row>
    <row r="24">
      <c r="A24">
        <f>IF(Wagens!A9="","",Wagens!A9)</f>
        <v/>
      </c>
      <c r="B24">
        <f>IF(A24="","",IF(N(F24)&gt;N(D24),"te vol voor één rit: "&amp;(N(F24)-N(D24))&amp;" te veel",IF(E24=0,"nog geen stops","")))</f>
        <v/>
      </c>
      <c r="D24">
        <f>IF(A24="","",Wagens!C9)</f>
        <v/>
      </c>
      <c r="E24">
        <f>IF(A24="","",COUNTIF(Stops!$J$2:$J$1001,A24))</f>
        <v/>
      </c>
      <c r="F24">
        <f>IF(A24="","",SUMIF(Stops!$J$2:$J$1001,A24,Stops!$G$2:$G$1001))</f>
        <v/>
      </c>
      <c r="G24" s="20">
        <f>IF(A24="","",SUMIF(Stops!$J$2:$J$1001,A24,Stops!$H$2:$H$1001)/60)</f>
        <v/>
      </c>
    </row>
    <row r="25">
      <c r="A25">
        <f>IF(Wagens!A10="","",Wagens!A10)</f>
        <v/>
      </c>
      <c r="B25">
        <f>IF(A25="","",IF(N(F25)&gt;N(D25),"te vol voor één rit: "&amp;(N(F25)-N(D25))&amp;" te veel",IF(E25=0,"nog geen stops","")))</f>
        <v/>
      </c>
      <c r="D25">
        <f>IF(A25="","",Wagens!C10)</f>
        <v/>
      </c>
      <c r="E25">
        <f>IF(A25="","",COUNTIF(Stops!$J$2:$J$1001,A25))</f>
        <v/>
      </c>
      <c r="F25">
        <f>IF(A25="","",SUMIF(Stops!$J$2:$J$1001,A25,Stops!$G$2:$G$1001))</f>
        <v/>
      </c>
      <c r="G25" s="20">
        <f>IF(A25="","",SUMIF(Stops!$J$2:$J$1001,A25,Stops!$H$2:$H$1001)/60)</f>
        <v/>
      </c>
    </row>
    <row r="26">
      <c r="A26">
        <f>IF(Wagens!A11="","",Wagens!A11)</f>
        <v/>
      </c>
      <c r="B26">
        <f>IF(A26="","",IF(N(F26)&gt;N(D26),"te vol voor één rit: "&amp;(N(F26)-N(D26))&amp;" te veel",IF(E26=0,"nog geen stops","")))</f>
        <v/>
      </c>
      <c r="D26">
        <f>IF(A26="","",Wagens!C11)</f>
        <v/>
      </c>
      <c r="E26">
        <f>IF(A26="","",COUNTIF(Stops!$J$2:$J$1001,A26))</f>
        <v/>
      </c>
      <c r="F26">
        <f>IF(A26="","",SUMIF(Stops!$J$2:$J$1001,A26,Stops!$G$2:$G$1001))</f>
        <v/>
      </c>
      <c r="G26" s="20">
        <f>IF(A26="","",SUMIF(Stops!$J$2:$J$1001,A26,Stops!$H$2:$H$1001)/60)</f>
        <v/>
      </c>
    </row>
    <row r="27">
      <c r="A27">
        <f>IF(Wagens!A12="","",Wagens!A12)</f>
        <v/>
      </c>
      <c r="B27">
        <f>IF(A27="","",IF(N(F27)&gt;N(D27),"te vol voor één rit: "&amp;(N(F27)-N(D27))&amp;" te veel",IF(E27=0,"nog geen stops","")))</f>
        <v/>
      </c>
      <c r="D27">
        <f>IF(A27="","",Wagens!C12)</f>
        <v/>
      </c>
      <c r="E27">
        <f>IF(A27="","",COUNTIF(Stops!$J$2:$J$1001,A27))</f>
        <v/>
      </c>
      <c r="F27">
        <f>IF(A27="","",SUMIF(Stops!$J$2:$J$1001,A27,Stops!$G$2:$G$1001))</f>
        <v/>
      </c>
      <c r="G27" s="20">
        <f>IF(A27="","",SUMIF(Stops!$J$2:$J$1001,A27,Stops!$H$2:$H$1001)/60)</f>
        <v/>
      </c>
    </row>
    <row r="28">
      <c r="A28">
        <f>IF(Wagens!A13="","",Wagens!A13)</f>
        <v/>
      </c>
      <c r="B28">
        <f>IF(A28="","",IF(N(F28)&gt;N(D28),"te vol voor één rit: "&amp;(N(F28)-N(D28))&amp;" te veel",IF(E28=0,"nog geen stops","")))</f>
        <v/>
      </c>
      <c r="D28">
        <f>IF(A28="","",Wagens!C13)</f>
        <v/>
      </c>
      <c r="E28">
        <f>IF(A28="","",COUNTIF(Stops!$J$2:$J$1001,A28))</f>
        <v/>
      </c>
      <c r="F28">
        <f>IF(A28="","",SUMIF(Stops!$J$2:$J$1001,A28,Stops!$G$2:$G$1001))</f>
        <v/>
      </c>
      <c r="G28" s="20">
        <f>IF(A28="","",SUMIF(Stops!$J$2:$J$1001,A28,Stops!$H$2:$H$1001)/60)</f>
        <v/>
      </c>
    </row>
    <row r="29">
      <c r="A29">
        <f>IF(Wagens!A14="","",Wagens!A14)</f>
        <v/>
      </c>
      <c r="B29">
        <f>IF(A29="","",IF(N(F29)&gt;N(D29),"te vol voor één rit: "&amp;(N(F29)-N(D29))&amp;" te veel",IF(E29=0,"nog geen stops","")))</f>
        <v/>
      </c>
      <c r="D29">
        <f>IF(A29="","",Wagens!C14)</f>
        <v/>
      </c>
      <c r="E29">
        <f>IF(A29="","",COUNTIF(Stops!$J$2:$J$1001,A29))</f>
        <v/>
      </c>
      <c r="F29">
        <f>IF(A29="","",SUMIF(Stops!$J$2:$J$1001,A29,Stops!$G$2:$G$1001))</f>
        <v/>
      </c>
      <c r="G29" s="20">
        <f>IF(A29="","",SUMIF(Stops!$J$2:$J$1001,A29,Stops!$H$2:$H$1001)/60)</f>
        <v/>
      </c>
    </row>
    <row r="30">
      <c r="A30">
        <f>IF(Wagens!A15="","",Wagens!A15)</f>
        <v/>
      </c>
      <c r="B30">
        <f>IF(A30="","",IF(N(F30)&gt;N(D30),"te vol voor één rit: "&amp;(N(F30)-N(D30))&amp;" te veel",IF(E30=0,"nog geen stops","")))</f>
        <v/>
      </c>
      <c r="D30">
        <f>IF(A30="","",Wagens!C15)</f>
        <v/>
      </c>
      <c r="E30">
        <f>IF(A30="","",COUNTIF(Stops!$J$2:$J$1001,A30))</f>
        <v/>
      </c>
      <c r="F30">
        <f>IF(A30="","",SUMIF(Stops!$J$2:$J$1001,A30,Stops!$G$2:$G$1001))</f>
        <v/>
      </c>
      <c r="G30" s="20">
        <f>IF(A30="","",SUMIF(Stops!$J$2:$J$1001,A30,Stops!$H$2:$H$1001)/60)</f>
        <v/>
      </c>
    </row>
    <row r="31">
      <c r="A31">
        <f>IF(Wagens!A16="","",Wagens!A16)</f>
        <v/>
      </c>
      <c r="B31">
        <f>IF(A31="","",IF(N(F31)&gt;N(D31),"te vol voor één rit: "&amp;(N(F31)-N(D31))&amp;" te veel",IF(E31=0,"nog geen stops","")))</f>
        <v/>
      </c>
      <c r="D31">
        <f>IF(A31="","",Wagens!C16)</f>
        <v/>
      </c>
      <c r="E31">
        <f>IF(A31="","",COUNTIF(Stops!$J$2:$J$1001,A31))</f>
        <v/>
      </c>
      <c r="F31">
        <f>IF(A31="","",SUMIF(Stops!$J$2:$J$1001,A31,Stops!$G$2:$G$1001))</f>
        <v/>
      </c>
      <c r="G31" s="20">
        <f>IF(A31="","",SUMIF(Stops!$J$2:$J$1001,A31,Stops!$H$2:$H$1001)/60)</f>
        <v/>
      </c>
    </row>
    <row r="32">
      <c r="A32">
        <f>IF(Wagens!A17="","",Wagens!A17)</f>
        <v/>
      </c>
      <c r="B32">
        <f>IF(A32="","",IF(N(F32)&gt;N(D32),"te vol voor één rit: "&amp;(N(F32)-N(D32))&amp;" te veel",IF(E32=0,"nog geen stops","")))</f>
        <v/>
      </c>
      <c r="D32">
        <f>IF(A32="","",Wagens!C17)</f>
        <v/>
      </c>
      <c r="E32">
        <f>IF(A32="","",COUNTIF(Stops!$J$2:$J$1001,A32))</f>
        <v/>
      </c>
      <c r="F32">
        <f>IF(A32="","",SUMIF(Stops!$J$2:$J$1001,A32,Stops!$G$2:$G$1001))</f>
        <v/>
      </c>
      <c r="G32" s="20">
        <f>IF(A32="","",SUMIF(Stops!$J$2:$J$1001,A32,Stops!$H$2:$H$1001)/60)</f>
        <v/>
      </c>
    </row>
    <row r="33">
      <c r="A33">
        <f>IF(Wagens!A18="","",Wagens!A18)</f>
        <v/>
      </c>
      <c r="B33">
        <f>IF(A33="","",IF(N(F33)&gt;N(D33),"te vol voor één rit: "&amp;(N(F33)-N(D33))&amp;" te veel",IF(E33=0,"nog geen stops","")))</f>
        <v/>
      </c>
      <c r="D33">
        <f>IF(A33="","",Wagens!C18)</f>
        <v/>
      </c>
      <c r="E33">
        <f>IF(A33="","",COUNTIF(Stops!$J$2:$J$1001,A33))</f>
        <v/>
      </c>
      <c r="F33">
        <f>IF(A33="","",SUMIF(Stops!$J$2:$J$1001,A33,Stops!$G$2:$G$1001))</f>
        <v/>
      </c>
      <c r="G33" s="20">
        <f>IF(A33="","",SUMIF(Stops!$J$2:$J$1001,A33,Stops!$H$2:$H$1001)/60)</f>
        <v/>
      </c>
    </row>
    <row r="34">
      <c r="A34">
        <f>IF(Wagens!A19="","",Wagens!A19)</f>
        <v/>
      </c>
      <c r="B34">
        <f>IF(A34="","",IF(N(F34)&gt;N(D34),"te vol voor één rit: "&amp;(N(F34)-N(D34))&amp;" te veel",IF(E34=0,"nog geen stops","")))</f>
        <v/>
      </c>
      <c r="D34">
        <f>IF(A34="","",Wagens!C19)</f>
        <v/>
      </c>
      <c r="E34">
        <f>IF(A34="","",COUNTIF(Stops!$J$2:$J$1001,A34))</f>
        <v/>
      </c>
      <c r="F34">
        <f>IF(A34="","",SUMIF(Stops!$J$2:$J$1001,A34,Stops!$G$2:$G$1001))</f>
        <v/>
      </c>
      <c r="G34" s="20">
        <f>IF(A34="","",SUMIF(Stops!$J$2:$J$1001,A34,Stops!$H$2:$H$1001)/60)</f>
        <v/>
      </c>
    </row>
    <row r="35">
      <c r="A35">
        <f>IF(Wagens!A20="","",Wagens!A20)</f>
        <v/>
      </c>
      <c r="B35">
        <f>IF(A35="","",IF(N(F35)&gt;N(D35),"te vol voor één rit: "&amp;(N(F35)-N(D35))&amp;" te veel",IF(E35=0,"nog geen stops","")))</f>
        <v/>
      </c>
      <c r="D35">
        <f>IF(A35="","",Wagens!C20)</f>
        <v/>
      </c>
      <c r="E35">
        <f>IF(A35="","",COUNTIF(Stops!$J$2:$J$1001,A35))</f>
        <v/>
      </c>
      <c r="F35">
        <f>IF(A35="","",SUMIF(Stops!$J$2:$J$1001,A35,Stops!$G$2:$G$1001))</f>
        <v/>
      </c>
      <c r="G35" s="20">
        <f>IF(A35="","",SUMIF(Stops!$J$2:$J$1001,A35,Stops!$H$2:$H$1001)/60)</f>
        <v/>
      </c>
    </row>
    <row r="36">
      <c r="A36">
        <f>IF(Wagens!A21="","",Wagens!A21)</f>
        <v/>
      </c>
      <c r="B36">
        <f>IF(A36="","",IF(N(F36)&gt;N(D36),"te vol voor één rit: "&amp;(N(F36)-N(D36))&amp;" te veel",IF(E36=0,"nog geen stops","")))</f>
        <v/>
      </c>
      <c r="D36">
        <f>IF(A36="","",Wagens!C21)</f>
        <v/>
      </c>
      <c r="E36">
        <f>IF(A36="","",COUNTIF(Stops!$J$2:$J$1001,A36))</f>
        <v/>
      </c>
      <c r="F36">
        <f>IF(A36="","",SUMIF(Stops!$J$2:$J$1001,A36,Stops!$G$2:$G$1001))</f>
        <v/>
      </c>
      <c r="G36" s="20">
        <f>IF(A36="","",SUMIF(Stops!$J$2:$J$1001,A36,Stops!$H$2:$H$1001)/60)</f>
        <v/>
      </c>
    </row>
    <row r="37">
      <c r="A37">
        <f>IF(Wagens!A22="","",Wagens!A22)</f>
        <v/>
      </c>
      <c r="B37">
        <f>IF(A37="","",IF(N(F37)&gt;N(D37),"te vol voor één rit: "&amp;(N(F37)-N(D37))&amp;" te veel",IF(E37=0,"nog geen stops","")))</f>
        <v/>
      </c>
      <c r="D37">
        <f>IF(A37="","",Wagens!C22)</f>
        <v/>
      </c>
      <c r="E37">
        <f>IF(A37="","",COUNTIF(Stops!$J$2:$J$1001,A37))</f>
        <v/>
      </c>
      <c r="F37">
        <f>IF(A37="","",SUMIF(Stops!$J$2:$J$1001,A37,Stops!$G$2:$G$1001))</f>
        <v/>
      </c>
      <c r="G37" s="20">
        <f>IF(A37="","",SUMIF(Stops!$J$2:$J$1001,A37,Stops!$H$2:$H$1001)/60)</f>
        <v/>
      </c>
    </row>
    <row r="38">
      <c r="A38">
        <f>IF(Wagens!A23="","",Wagens!A23)</f>
        <v/>
      </c>
      <c r="B38">
        <f>IF(A38="","",IF(N(F38)&gt;N(D38),"te vol voor één rit: "&amp;(N(F38)-N(D38))&amp;" te veel",IF(E38=0,"nog geen stops","")))</f>
        <v/>
      </c>
      <c r="D38">
        <f>IF(A38="","",Wagens!C23)</f>
        <v/>
      </c>
      <c r="E38">
        <f>IF(A38="","",COUNTIF(Stops!$J$2:$J$1001,A38))</f>
        <v/>
      </c>
      <c r="F38">
        <f>IF(A38="","",SUMIF(Stops!$J$2:$J$1001,A38,Stops!$G$2:$G$1001))</f>
        <v/>
      </c>
      <c r="G38" s="20">
        <f>IF(A38="","",SUMIF(Stops!$J$2:$J$1001,A38,Stops!$H$2:$H$1001)/60)</f>
        <v/>
      </c>
    </row>
    <row r="39">
      <c r="A39">
        <f>IF(Wagens!A24="","",Wagens!A24)</f>
        <v/>
      </c>
      <c r="B39">
        <f>IF(A39="","",IF(N(F39)&gt;N(D39),"te vol voor één rit: "&amp;(N(F39)-N(D39))&amp;" te veel",IF(E39=0,"nog geen stops","")))</f>
        <v/>
      </c>
      <c r="D39">
        <f>IF(A39="","",Wagens!C24)</f>
        <v/>
      </c>
      <c r="E39">
        <f>IF(A39="","",COUNTIF(Stops!$J$2:$J$1001,A39))</f>
        <v/>
      </c>
      <c r="F39">
        <f>IF(A39="","",SUMIF(Stops!$J$2:$J$1001,A39,Stops!$G$2:$G$1001))</f>
        <v/>
      </c>
      <c r="G39" s="20">
        <f>IF(A39="","",SUMIF(Stops!$J$2:$J$1001,A39,Stops!$H$2:$H$1001)/60)</f>
        <v/>
      </c>
    </row>
    <row r="40">
      <c r="A40">
        <f>IF(Wagens!A25="","",Wagens!A25)</f>
        <v/>
      </c>
      <c r="B40">
        <f>IF(A40="","",IF(N(F40)&gt;N(D40),"te vol voor één rit: "&amp;(N(F40)-N(D40))&amp;" te veel",IF(E40=0,"nog geen stops","")))</f>
        <v/>
      </c>
      <c r="D40">
        <f>IF(A40="","",Wagens!C25)</f>
        <v/>
      </c>
      <c r="E40">
        <f>IF(A40="","",COUNTIF(Stops!$J$2:$J$1001,A40))</f>
        <v/>
      </c>
      <c r="F40">
        <f>IF(A40="","",SUMIF(Stops!$J$2:$J$1001,A40,Stops!$G$2:$G$1001))</f>
        <v/>
      </c>
      <c r="G40" s="20">
        <f>IF(A40="","",SUMIF(Stops!$J$2:$J$1001,A40,Stops!$H$2:$H$1001)/60)</f>
        <v/>
      </c>
    </row>
    <row r="41">
      <c r="A41">
        <f>IF(Wagens!A26="","",Wagens!A26)</f>
        <v/>
      </c>
      <c r="B41">
        <f>IF(A41="","",IF(N(F41)&gt;N(D41),"te vol voor één rit: "&amp;(N(F41)-N(D41))&amp;" te veel",IF(E41=0,"nog geen stops","")))</f>
        <v/>
      </c>
      <c r="D41">
        <f>IF(A41="","",Wagens!C26)</f>
        <v/>
      </c>
      <c r="E41">
        <f>IF(A41="","",COUNTIF(Stops!$J$2:$J$1001,A41))</f>
        <v/>
      </c>
      <c r="F41">
        <f>IF(A41="","",SUMIF(Stops!$J$2:$J$1001,A41,Stops!$G$2:$G$1001))</f>
        <v/>
      </c>
      <c r="G41" s="20">
        <f>IF(A41="","",SUMIF(Stops!$J$2:$J$1001,A41,Stops!$H$2:$H$1001)/60)</f>
        <v/>
      </c>
    </row>
    <row r="42">
      <c r="A42">
        <f>IF(Wagens!A27="","",Wagens!A27)</f>
        <v/>
      </c>
      <c r="B42">
        <f>IF(A42="","",IF(N(F42)&gt;N(D42),"te vol voor één rit: "&amp;(N(F42)-N(D42))&amp;" te veel",IF(E42=0,"nog geen stops","")))</f>
        <v/>
      </c>
      <c r="D42">
        <f>IF(A42="","",Wagens!C27)</f>
        <v/>
      </c>
      <c r="E42">
        <f>IF(A42="","",COUNTIF(Stops!$J$2:$J$1001,A42))</f>
        <v/>
      </c>
      <c r="F42">
        <f>IF(A42="","",SUMIF(Stops!$J$2:$J$1001,A42,Stops!$G$2:$G$1001))</f>
        <v/>
      </c>
      <c r="G42" s="20">
        <f>IF(A42="","",SUMIF(Stops!$J$2:$J$1001,A42,Stops!$H$2:$H$1001)/60)</f>
        <v/>
      </c>
    </row>
    <row r="43">
      <c r="A43">
        <f>IF(Wagens!A28="","",Wagens!A28)</f>
        <v/>
      </c>
      <c r="B43">
        <f>IF(A43="","",IF(N(F43)&gt;N(D43),"te vol voor één rit: "&amp;(N(F43)-N(D43))&amp;" te veel",IF(E43=0,"nog geen stops","")))</f>
        <v/>
      </c>
      <c r="D43">
        <f>IF(A43="","",Wagens!C28)</f>
        <v/>
      </c>
      <c r="E43">
        <f>IF(A43="","",COUNTIF(Stops!$J$2:$J$1001,A43))</f>
        <v/>
      </c>
      <c r="F43">
        <f>IF(A43="","",SUMIF(Stops!$J$2:$J$1001,A43,Stops!$G$2:$G$1001))</f>
        <v/>
      </c>
      <c r="G43" s="20">
        <f>IF(A43="","",SUMIF(Stops!$J$2:$J$1001,A43,Stops!$H$2:$H$1001)/60)</f>
        <v/>
      </c>
    </row>
    <row r="44">
      <c r="A44">
        <f>IF(Wagens!A29="","",Wagens!A29)</f>
        <v/>
      </c>
      <c r="B44">
        <f>IF(A44="","",IF(N(F44)&gt;N(D44),"te vol voor één rit: "&amp;(N(F44)-N(D44))&amp;" te veel",IF(E44=0,"nog geen stops","")))</f>
        <v/>
      </c>
      <c r="D44">
        <f>IF(A44="","",Wagens!C29)</f>
        <v/>
      </c>
      <c r="E44">
        <f>IF(A44="","",COUNTIF(Stops!$J$2:$J$1001,A44))</f>
        <v/>
      </c>
      <c r="F44">
        <f>IF(A44="","",SUMIF(Stops!$J$2:$J$1001,A44,Stops!$G$2:$G$1001))</f>
        <v/>
      </c>
      <c r="G44" s="20">
        <f>IF(A44="","",SUMIF(Stops!$J$2:$J$1001,A44,Stops!$H$2:$H$1001)/60)</f>
        <v/>
      </c>
    </row>
    <row r="45">
      <c r="A45">
        <f>IF(Wagens!A30="","",Wagens!A30)</f>
        <v/>
      </c>
      <c r="B45">
        <f>IF(A45="","",IF(N(F45)&gt;N(D45),"te vol voor één rit: "&amp;(N(F45)-N(D45))&amp;" te veel",IF(E45=0,"nog geen stops","")))</f>
        <v/>
      </c>
      <c r="D45">
        <f>IF(A45="","",Wagens!C30)</f>
        <v/>
      </c>
      <c r="E45">
        <f>IF(A45="","",COUNTIF(Stops!$J$2:$J$1001,A45))</f>
        <v/>
      </c>
      <c r="F45">
        <f>IF(A45="","",SUMIF(Stops!$J$2:$J$1001,A45,Stops!$G$2:$G$1001))</f>
        <v/>
      </c>
      <c r="G45" s="20">
        <f>IF(A45="","",SUMIF(Stops!$J$2:$J$1001,A45,Stops!$H$2:$H$1001)/60)</f>
        <v/>
      </c>
    </row>
    <row r="46">
      <c r="A46">
        <f>IF(Wagens!A31="","",Wagens!A31)</f>
        <v/>
      </c>
      <c r="B46">
        <f>IF(A46="","",IF(N(F46)&gt;N(D46),"te vol voor één rit: "&amp;(N(F46)-N(D46))&amp;" te veel",IF(E46=0,"nog geen stops","")))</f>
        <v/>
      </c>
      <c r="D46">
        <f>IF(A46="","",Wagens!C31)</f>
        <v/>
      </c>
      <c r="E46">
        <f>IF(A46="","",COUNTIF(Stops!$J$2:$J$1001,A46))</f>
        <v/>
      </c>
      <c r="F46">
        <f>IF(A46="","",SUMIF(Stops!$J$2:$J$1001,A46,Stops!$G$2:$G$1001))</f>
        <v/>
      </c>
      <c r="G46" s="20">
        <f>IF(A46="","",SUMIF(Stops!$J$2:$J$1001,A46,Stops!$H$2:$H$1001)/60)</f>
        <v/>
      </c>
    </row>
    <row r="48">
      <c r="A48" s="18" t="inlineStr">
        <is>
          <t>Vensters per stop</t>
        </is>
      </c>
    </row>
    <row r="49">
      <c r="A49" s="19" t="inlineStr">
        <is>
          <t>Klant</t>
        </is>
      </c>
      <c r="B49" s="19" t="inlineStr">
        <is>
          <t>Let op</t>
        </is>
      </c>
      <c r="D49" s="19" t="inlineStr">
        <is>
          <t>Regel op blad Stops</t>
        </is>
      </c>
      <c r="E49" s="19" t="inlineStr">
        <is>
          <t>Venster (minuten)</t>
        </is>
      </c>
    </row>
    <row r="50">
      <c r="A50">
        <f>IF(Stops!A2="","",Stops!A2)</f>
        <v/>
      </c>
      <c r="B50">
        <f>IF(E50="","",IF(E50&lt;=0,"het einde ligt voor het begin",IF(E50&lt;60,"venster korter dan een uur","")))</f>
        <v/>
      </c>
      <c r="D50">
        <f>IF(A50="","",2)</f>
        <v/>
      </c>
      <c r="E50">
        <f>IF(OR(Stops!A2="",Stops!E2="",Stops!F2=""),"",ROUND((Stops!F2-Stops!E2)*1440,0))</f>
        <v/>
      </c>
    </row>
    <row r="51">
      <c r="A51">
        <f>IF(Stops!A3="","",Stops!A3)</f>
        <v/>
      </c>
      <c r="B51">
        <f>IF(E51="","",IF(E51&lt;=0,"het einde ligt voor het begin",IF(E51&lt;60,"venster korter dan een uur","")))</f>
        <v/>
      </c>
      <c r="D51">
        <f>IF(A51="","",3)</f>
        <v/>
      </c>
      <c r="E51">
        <f>IF(OR(Stops!A3="",Stops!E3="",Stops!F3=""),"",ROUND((Stops!F3-Stops!E3)*1440,0))</f>
        <v/>
      </c>
    </row>
    <row r="52">
      <c r="A52">
        <f>IF(Stops!A4="","",Stops!A4)</f>
        <v/>
      </c>
      <c r="B52">
        <f>IF(E52="","",IF(E52&lt;=0,"het einde ligt voor het begin",IF(E52&lt;60,"venster korter dan een uur","")))</f>
        <v/>
      </c>
      <c r="D52">
        <f>IF(A52="","",4)</f>
        <v/>
      </c>
      <c r="E52">
        <f>IF(OR(Stops!A4="",Stops!E4="",Stops!F4=""),"",ROUND((Stops!F4-Stops!E4)*1440,0))</f>
        <v/>
      </c>
    </row>
    <row r="53">
      <c r="A53">
        <f>IF(Stops!A5="","",Stops!A5)</f>
        <v/>
      </c>
      <c r="B53">
        <f>IF(E53="","",IF(E53&lt;=0,"het einde ligt voor het begin",IF(E53&lt;60,"venster korter dan een uur","")))</f>
        <v/>
      </c>
      <c r="D53">
        <f>IF(A53="","",5)</f>
        <v/>
      </c>
      <c r="E53">
        <f>IF(OR(Stops!A5="",Stops!E5="",Stops!F5=""),"",ROUND((Stops!F5-Stops!E5)*1440,0))</f>
        <v/>
      </c>
    </row>
    <row r="54">
      <c r="A54">
        <f>IF(Stops!A6="","",Stops!A6)</f>
        <v/>
      </c>
      <c r="B54">
        <f>IF(E54="","",IF(E54&lt;=0,"het einde ligt voor het begin",IF(E54&lt;60,"venster korter dan een uur","")))</f>
        <v/>
      </c>
      <c r="D54">
        <f>IF(A54="","",6)</f>
        <v/>
      </c>
      <c r="E54">
        <f>IF(OR(Stops!A6="",Stops!E6="",Stops!F6=""),"",ROUND((Stops!F6-Stops!E6)*1440,0))</f>
        <v/>
      </c>
    </row>
    <row r="55">
      <c r="A55">
        <f>IF(Stops!A7="","",Stops!A7)</f>
        <v/>
      </c>
      <c r="B55">
        <f>IF(E55="","",IF(E55&lt;=0,"het einde ligt voor het begin",IF(E55&lt;60,"venster korter dan een uur","")))</f>
        <v/>
      </c>
      <c r="D55">
        <f>IF(A55="","",7)</f>
        <v/>
      </c>
      <c r="E55">
        <f>IF(OR(Stops!A7="",Stops!E7="",Stops!F7=""),"",ROUND((Stops!F7-Stops!E7)*1440,0))</f>
        <v/>
      </c>
    </row>
    <row r="56">
      <c r="A56">
        <f>IF(Stops!A8="","",Stops!A8)</f>
        <v/>
      </c>
      <c r="B56">
        <f>IF(E56="","",IF(E56&lt;=0,"het einde ligt voor het begin",IF(E56&lt;60,"venster korter dan een uur","")))</f>
        <v/>
      </c>
      <c r="D56">
        <f>IF(A56="","",8)</f>
        <v/>
      </c>
      <c r="E56">
        <f>IF(OR(Stops!A8="",Stops!E8="",Stops!F8=""),"",ROUND((Stops!F8-Stops!E8)*1440,0))</f>
        <v/>
      </c>
    </row>
    <row r="57">
      <c r="A57">
        <f>IF(Stops!A9="","",Stops!A9)</f>
        <v/>
      </c>
      <c r="B57">
        <f>IF(E57="","",IF(E57&lt;=0,"het einde ligt voor het begin",IF(E57&lt;60,"venster korter dan een uur","")))</f>
        <v/>
      </c>
      <c r="D57">
        <f>IF(A57="","",9)</f>
        <v/>
      </c>
      <c r="E57">
        <f>IF(OR(Stops!A9="",Stops!E9="",Stops!F9=""),"",ROUND((Stops!F9-Stops!E9)*1440,0))</f>
        <v/>
      </c>
    </row>
    <row r="58">
      <c r="A58">
        <f>IF(Stops!A10="","",Stops!A10)</f>
        <v/>
      </c>
      <c r="B58">
        <f>IF(E58="","",IF(E58&lt;=0,"het einde ligt voor het begin",IF(E58&lt;60,"venster korter dan een uur","")))</f>
        <v/>
      </c>
      <c r="D58">
        <f>IF(A58="","",10)</f>
        <v/>
      </c>
      <c r="E58">
        <f>IF(OR(Stops!A10="",Stops!E10="",Stops!F10=""),"",ROUND((Stops!F10-Stops!E10)*1440,0))</f>
        <v/>
      </c>
    </row>
    <row r="59">
      <c r="A59">
        <f>IF(Stops!A11="","",Stops!A11)</f>
        <v/>
      </c>
      <c r="B59">
        <f>IF(E59="","",IF(E59&lt;=0,"het einde ligt voor het begin",IF(E59&lt;60,"venster korter dan een uur","")))</f>
        <v/>
      </c>
      <c r="D59">
        <f>IF(A59="","",11)</f>
        <v/>
      </c>
      <c r="E59">
        <f>IF(OR(Stops!A11="",Stops!E11="",Stops!F11=""),"",ROUND((Stops!F11-Stops!E11)*1440,0))</f>
        <v/>
      </c>
    </row>
    <row r="60">
      <c r="A60">
        <f>IF(Stops!A12="","",Stops!A12)</f>
        <v/>
      </c>
      <c r="B60">
        <f>IF(E60="","",IF(E60&lt;=0,"het einde ligt voor het begin",IF(E60&lt;60,"venster korter dan een uur","")))</f>
        <v/>
      </c>
      <c r="D60">
        <f>IF(A60="","",12)</f>
        <v/>
      </c>
      <c r="E60">
        <f>IF(OR(Stops!A12="",Stops!E12="",Stops!F12=""),"",ROUND((Stops!F12-Stops!E12)*1440,0))</f>
        <v/>
      </c>
    </row>
    <row r="61">
      <c r="A61">
        <f>IF(Stops!A13="","",Stops!A13)</f>
        <v/>
      </c>
      <c r="B61">
        <f>IF(E61="","",IF(E61&lt;=0,"het einde ligt voor het begin",IF(E61&lt;60,"venster korter dan een uur","")))</f>
        <v/>
      </c>
      <c r="D61">
        <f>IF(A61="","",13)</f>
        <v/>
      </c>
      <c r="E61">
        <f>IF(OR(Stops!A13="",Stops!E13="",Stops!F13=""),"",ROUND((Stops!F13-Stops!E13)*1440,0))</f>
        <v/>
      </c>
    </row>
    <row r="62">
      <c r="A62">
        <f>IF(Stops!A14="","",Stops!A14)</f>
        <v/>
      </c>
      <c r="B62">
        <f>IF(E62="","",IF(E62&lt;=0,"het einde ligt voor het begin",IF(E62&lt;60,"venster korter dan een uur","")))</f>
        <v/>
      </c>
      <c r="D62">
        <f>IF(A62="","",14)</f>
        <v/>
      </c>
      <c r="E62">
        <f>IF(OR(Stops!A14="",Stops!E14="",Stops!F14=""),"",ROUND((Stops!F14-Stops!E14)*1440,0))</f>
        <v/>
      </c>
    </row>
    <row r="63">
      <c r="A63">
        <f>IF(Stops!A15="","",Stops!A15)</f>
        <v/>
      </c>
      <c r="B63">
        <f>IF(E63="","",IF(E63&lt;=0,"het einde ligt voor het begin",IF(E63&lt;60,"venster korter dan een uur","")))</f>
        <v/>
      </c>
      <c r="D63">
        <f>IF(A63="","",15)</f>
        <v/>
      </c>
      <c r="E63">
        <f>IF(OR(Stops!A15="",Stops!E15="",Stops!F15=""),"",ROUND((Stops!F15-Stops!E15)*1440,0))</f>
        <v/>
      </c>
    </row>
    <row r="64">
      <c r="A64">
        <f>IF(Stops!A16="","",Stops!A16)</f>
        <v/>
      </c>
      <c r="B64">
        <f>IF(E64="","",IF(E64&lt;=0,"het einde ligt voor het begin",IF(E64&lt;60,"venster korter dan een uur","")))</f>
        <v/>
      </c>
      <c r="D64">
        <f>IF(A64="","",16)</f>
        <v/>
      </c>
      <c r="E64">
        <f>IF(OR(Stops!A16="",Stops!E16="",Stops!F16=""),"",ROUND((Stops!F16-Stops!E16)*1440,0))</f>
        <v/>
      </c>
    </row>
    <row r="65">
      <c r="A65">
        <f>IF(Stops!A17="","",Stops!A17)</f>
        <v/>
      </c>
      <c r="B65">
        <f>IF(E65="","",IF(E65&lt;=0,"het einde ligt voor het begin",IF(E65&lt;60,"venster korter dan een uur","")))</f>
        <v/>
      </c>
      <c r="D65">
        <f>IF(A65="","",17)</f>
        <v/>
      </c>
      <c r="E65">
        <f>IF(OR(Stops!A17="",Stops!E17="",Stops!F17=""),"",ROUND((Stops!F17-Stops!E17)*1440,0))</f>
        <v/>
      </c>
    </row>
    <row r="66">
      <c r="A66">
        <f>IF(Stops!A18="","",Stops!A18)</f>
        <v/>
      </c>
      <c r="B66">
        <f>IF(E66="","",IF(E66&lt;=0,"het einde ligt voor het begin",IF(E66&lt;60,"venster korter dan een uur","")))</f>
        <v/>
      </c>
      <c r="D66">
        <f>IF(A66="","",18)</f>
        <v/>
      </c>
      <c r="E66">
        <f>IF(OR(Stops!A18="",Stops!E18="",Stops!F18=""),"",ROUND((Stops!F18-Stops!E18)*1440,0))</f>
        <v/>
      </c>
    </row>
    <row r="67">
      <c r="A67">
        <f>IF(Stops!A19="","",Stops!A19)</f>
        <v/>
      </c>
      <c r="B67">
        <f>IF(E67="","",IF(E67&lt;=0,"het einde ligt voor het begin",IF(E67&lt;60,"venster korter dan een uur","")))</f>
        <v/>
      </c>
      <c r="D67">
        <f>IF(A67="","",19)</f>
        <v/>
      </c>
      <c r="E67">
        <f>IF(OR(Stops!A19="",Stops!E19="",Stops!F19=""),"",ROUND((Stops!F19-Stops!E19)*1440,0))</f>
        <v/>
      </c>
    </row>
    <row r="68">
      <c r="A68">
        <f>IF(Stops!A20="","",Stops!A20)</f>
        <v/>
      </c>
      <c r="B68">
        <f>IF(E68="","",IF(E68&lt;=0,"het einde ligt voor het begin",IF(E68&lt;60,"venster korter dan een uur","")))</f>
        <v/>
      </c>
      <c r="D68">
        <f>IF(A68="","",20)</f>
        <v/>
      </c>
      <c r="E68">
        <f>IF(OR(Stops!A20="",Stops!E20="",Stops!F20=""),"",ROUND((Stops!F20-Stops!E20)*1440,0))</f>
        <v/>
      </c>
    </row>
    <row r="69">
      <c r="A69">
        <f>IF(Stops!A21="","",Stops!A21)</f>
        <v/>
      </c>
      <c r="B69">
        <f>IF(E69="","",IF(E69&lt;=0,"het einde ligt voor het begin",IF(E69&lt;60,"venster korter dan een uur","")))</f>
        <v/>
      </c>
      <c r="D69">
        <f>IF(A69="","",21)</f>
        <v/>
      </c>
      <c r="E69">
        <f>IF(OR(Stops!A21="",Stops!E21="",Stops!F21=""),"",ROUND((Stops!F21-Stops!E21)*1440,0))</f>
        <v/>
      </c>
    </row>
    <row r="70">
      <c r="A70">
        <f>IF(Stops!A22="","",Stops!A22)</f>
        <v/>
      </c>
      <c r="B70">
        <f>IF(E70="","",IF(E70&lt;=0,"het einde ligt voor het begin",IF(E70&lt;60,"venster korter dan een uur","")))</f>
        <v/>
      </c>
      <c r="D70">
        <f>IF(A70="","",22)</f>
        <v/>
      </c>
      <c r="E70">
        <f>IF(OR(Stops!A22="",Stops!E22="",Stops!F22=""),"",ROUND((Stops!F22-Stops!E22)*1440,0))</f>
        <v/>
      </c>
    </row>
    <row r="71">
      <c r="A71">
        <f>IF(Stops!A23="","",Stops!A23)</f>
        <v/>
      </c>
      <c r="B71">
        <f>IF(E71="","",IF(E71&lt;=0,"het einde ligt voor het begin",IF(E71&lt;60,"venster korter dan een uur","")))</f>
        <v/>
      </c>
      <c r="D71">
        <f>IF(A71="","",23)</f>
        <v/>
      </c>
      <c r="E71">
        <f>IF(OR(Stops!A23="",Stops!E23="",Stops!F23=""),"",ROUND((Stops!F23-Stops!E23)*1440,0))</f>
        <v/>
      </c>
    </row>
    <row r="72">
      <c r="A72">
        <f>IF(Stops!A24="","",Stops!A24)</f>
        <v/>
      </c>
      <c r="B72">
        <f>IF(E72="","",IF(E72&lt;=0,"het einde ligt voor het begin",IF(E72&lt;60,"venster korter dan een uur","")))</f>
        <v/>
      </c>
      <c r="D72">
        <f>IF(A72="","",24)</f>
        <v/>
      </c>
      <c r="E72">
        <f>IF(OR(Stops!A24="",Stops!E24="",Stops!F24=""),"",ROUND((Stops!F24-Stops!E24)*1440,0))</f>
        <v/>
      </c>
    </row>
    <row r="73">
      <c r="A73">
        <f>IF(Stops!A25="","",Stops!A25)</f>
        <v/>
      </c>
      <c r="B73">
        <f>IF(E73="","",IF(E73&lt;=0,"het einde ligt voor het begin",IF(E73&lt;60,"venster korter dan een uur","")))</f>
        <v/>
      </c>
      <c r="D73">
        <f>IF(A73="","",25)</f>
        <v/>
      </c>
      <c r="E73">
        <f>IF(OR(Stops!A25="",Stops!E25="",Stops!F25=""),"",ROUND((Stops!F25-Stops!E25)*1440,0))</f>
        <v/>
      </c>
    </row>
    <row r="74">
      <c r="A74">
        <f>IF(Stops!A26="","",Stops!A26)</f>
        <v/>
      </c>
      <c r="B74">
        <f>IF(E74="","",IF(E74&lt;=0,"het einde ligt voor het begin",IF(E74&lt;60,"venster korter dan een uur","")))</f>
        <v/>
      </c>
      <c r="D74">
        <f>IF(A74="","",26)</f>
        <v/>
      </c>
      <c r="E74">
        <f>IF(OR(Stops!A26="",Stops!E26="",Stops!F26=""),"",ROUND((Stops!F26-Stops!E26)*1440,0))</f>
        <v/>
      </c>
    </row>
    <row r="75">
      <c r="A75">
        <f>IF(Stops!A27="","",Stops!A27)</f>
        <v/>
      </c>
      <c r="B75">
        <f>IF(E75="","",IF(E75&lt;=0,"het einde ligt voor het begin",IF(E75&lt;60,"venster korter dan een uur","")))</f>
        <v/>
      </c>
      <c r="D75">
        <f>IF(A75="","",27)</f>
        <v/>
      </c>
      <c r="E75">
        <f>IF(OR(Stops!A27="",Stops!E27="",Stops!F27=""),"",ROUND((Stops!F27-Stops!E27)*1440,0))</f>
        <v/>
      </c>
    </row>
    <row r="76">
      <c r="A76">
        <f>IF(Stops!A28="","",Stops!A28)</f>
        <v/>
      </c>
      <c r="B76">
        <f>IF(E76="","",IF(E76&lt;=0,"het einde ligt voor het begin",IF(E76&lt;60,"venster korter dan een uur","")))</f>
        <v/>
      </c>
      <c r="D76">
        <f>IF(A76="","",28)</f>
        <v/>
      </c>
      <c r="E76">
        <f>IF(OR(Stops!A28="",Stops!E28="",Stops!F28=""),"",ROUND((Stops!F28-Stops!E28)*1440,0))</f>
        <v/>
      </c>
    </row>
    <row r="77">
      <c r="A77">
        <f>IF(Stops!A29="","",Stops!A29)</f>
        <v/>
      </c>
      <c r="B77">
        <f>IF(E77="","",IF(E77&lt;=0,"het einde ligt voor het begin",IF(E77&lt;60,"venster korter dan een uur","")))</f>
        <v/>
      </c>
      <c r="D77">
        <f>IF(A77="","",29)</f>
        <v/>
      </c>
      <c r="E77">
        <f>IF(OR(Stops!A29="",Stops!E29="",Stops!F29=""),"",ROUND((Stops!F29-Stops!E29)*1440,0))</f>
        <v/>
      </c>
    </row>
    <row r="78">
      <c r="A78">
        <f>IF(Stops!A30="","",Stops!A30)</f>
        <v/>
      </c>
      <c r="B78">
        <f>IF(E78="","",IF(E78&lt;=0,"het einde ligt voor het begin",IF(E78&lt;60,"venster korter dan een uur","")))</f>
        <v/>
      </c>
      <c r="D78">
        <f>IF(A78="","",30)</f>
        <v/>
      </c>
      <c r="E78">
        <f>IF(OR(Stops!A30="",Stops!E30="",Stops!F30=""),"",ROUND((Stops!F30-Stops!E30)*1440,0))</f>
        <v/>
      </c>
    </row>
    <row r="79">
      <c r="A79">
        <f>IF(Stops!A31="","",Stops!A31)</f>
        <v/>
      </c>
      <c r="B79">
        <f>IF(E79="","",IF(E79&lt;=0,"het einde ligt voor het begin",IF(E79&lt;60,"venster korter dan een uur","")))</f>
        <v/>
      </c>
      <c r="D79">
        <f>IF(A79="","",31)</f>
        <v/>
      </c>
      <c r="E79">
        <f>IF(OR(Stops!A31="",Stops!E31="",Stops!F31=""),"",ROUND((Stops!F31-Stops!E31)*1440,0))</f>
        <v/>
      </c>
    </row>
    <row r="80">
      <c r="A80">
        <f>IF(Stops!A32="","",Stops!A32)</f>
        <v/>
      </c>
      <c r="B80">
        <f>IF(E80="","",IF(E80&lt;=0,"het einde ligt voor het begin",IF(E80&lt;60,"venster korter dan een uur","")))</f>
        <v/>
      </c>
      <c r="D80">
        <f>IF(A80="","",32)</f>
        <v/>
      </c>
      <c r="E80">
        <f>IF(OR(Stops!A32="",Stops!E32="",Stops!F32=""),"",ROUND((Stops!F32-Stops!E32)*1440,0))</f>
        <v/>
      </c>
    </row>
    <row r="81">
      <c r="A81">
        <f>IF(Stops!A33="","",Stops!A33)</f>
        <v/>
      </c>
      <c r="B81">
        <f>IF(E81="","",IF(E81&lt;=0,"het einde ligt voor het begin",IF(E81&lt;60,"venster korter dan een uur","")))</f>
        <v/>
      </c>
      <c r="D81">
        <f>IF(A81="","",33)</f>
        <v/>
      </c>
      <c r="E81">
        <f>IF(OR(Stops!A33="",Stops!E33="",Stops!F33=""),"",ROUND((Stops!F33-Stops!E33)*1440,0))</f>
        <v/>
      </c>
    </row>
    <row r="82">
      <c r="A82">
        <f>IF(Stops!A34="","",Stops!A34)</f>
        <v/>
      </c>
      <c r="B82">
        <f>IF(E82="","",IF(E82&lt;=0,"het einde ligt voor het begin",IF(E82&lt;60,"venster korter dan een uur","")))</f>
        <v/>
      </c>
      <c r="D82">
        <f>IF(A82="","",34)</f>
        <v/>
      </c>
      <c r="E82">
        <f>IF(OR(Stops!A34="",Stops!E34="",Stops!F34=""),"",ROUND((Stops!F34-Stops!E34)*1440,0))</f>
        <v/>
      </c>
    </row>
    <row r="83">
      <c r="A83">
        <f>IF(Stops!A35="","",Stops!A35)</f>
        <v/>
      </c>
      <c r="B83">
        <f>IF(E83="","",IF(E83&lt;=0,"het einde ligt voor het begin",IF(E83&lt;60,"venster korter dan een uur","")))</f>
        <v/>
      </c>
      <c r="D83">
        <f>IF(A83="","",35)</f>
        <v/>
      </c>
      <c r="E83">
        <f>IF(OR(Stops!A35="",Stops!E35="",Stops!F35=""),"",ROUND((Stops!F35-Stops!E35)*1440,0))</f>
        <v/>
      </c>
    </row>
    <row r="84">
      <c r="A84">
        <f>IF(Stops!A36="","",Stops!A36)</f>
        <v/>
      </c>
      <c r="B84">
        <f>IF(E84="","",IF(E84&lt;=0,"het einde ligt voor het begin",IF(E84&lt;60,"venster korter dan een uur","")))</f>
        <v/>
      </c>
      <c r="D84">
        <f>IF(A84="","",36)</f>
        <v/>
      </c>
      <c r="E84">
        <f>IF(OR(Stops!A36="",Stops!E36="",Stops!F36=""),"",ROUND((Stops!F36-Stops!E36)*1440,0))</f>
        <v/>
      </c>
    </row>
    <row r="85">
      <c r="A85">
        <f>IF(Stops!A37="","",Stops!A37)</f>
        <v/>
      </c>
      <c r="B85">
        <f>IF(E85="","",IF(E85&lt;=0,"het einde ligt voor het begin",IF(E85&lt;60,"venster korter dan een uur","")))</f>
        <v/>
      </c>
      <c r="D85">
        <f>IF(A85="","",37)</f>
        <v/>
      </c>
      <c r="E85">
        <f>IF(OR(Stops!A37="",Stops!E37="",Stops!F37=""),"",ROUND((Stops!F37-Stops!E37)*1440,0))</f>
        <v/>
      </c>
    </row>
    <row r="86">
      <c r="A86">
        <f>IF(Stops!A38="","",Stops!A38)</f>
        <v/>
      </c>
      <c r="B86">
        <f>IF(E86="","",IF(E86&lt;=0,"het einde ligt voor het begin",IF(E86&lt;60,"venster korter dan een uur","")))</f>
        <v/>
      </c>
      <c r="D86">
        <f>IF(A86="","",38)</f>
        <v/>
      </c>
      <c r="E86">
        <f>IF(OR(Stops!A38="",Stops!E38="",Stops!F38=""),"",ROUND((Stops!F38-Stops!E38)*1440,0))</f>
        <v/>
      </c>
    </row>
    <row r="87">
      <c r="A87">
        <f>IF(Stops!A39="","",Stops!A39)</f>
        <v/>
      </c>
      <c r="B87">
        <f>IF(E87="","",IF(E87&lt;=0,"het einde ligt voor het begin",IF(E87&lt;60,"venster korter dan een uur","")))</f>
        <v/>
      </c>
      <c r="D87">
        <f>IF(A87="","",39)</f>
        <v/>
      </c>
      <c r="E87">
        <f>IF(OR(Stops!A39="",Stops!E39="",Stops!F39=""),"",ROUND((Stops!F39-Stops!E39)*1440,0))</f>
        <v/>
      </c>
    </row>
    <row r="88">
      <c r="A88">
        <f>IF(Stops!A40="","",Stops!A40)</f>
        <v/>
      </c>
      <c r="B88">
        <f>IF(E88="","",IF(E88&lt;=0,"het einde ligt voor het begin",IF(E88&lt;60,"venster korter dan een uur","")))</f>
        <v/>
      </c>
      <c r="D88">
        <f>IF(A88="","",40)</f>
        <v/>
      </c>
      <c r="E88">
        <f>IF(OR(Stops!A40="",Stops!E40="",Stops!F40=""),"",ROUND((Stops!F40-Stops!E40)*1440,0))</f>
        <v/>
      </c>
    </row>
    <row r="89">
      <c r="A89">
        <f>IF(Stops!A41="","",Stops!A41)</f>
        <v/>
      </c>
      <c r="B89">
        <f>IF(E89="","",IF(E89&lt;=0,"het einde ligt voor het begin",IF(E89&lt;60,"venster korter dan een uur","")))</f>
        <v/>
      </c>
      <c r="D89">
        <f>IF(A89="","",41)</f>
        <v/>
      </c>
      <c r="E89">
        <f>IF(OR(Stops!A41="",Stops!E41="",Stops!F41=""),"",ROUND((Stops!F41-Stops!E41)*1440,0))</f>
        <v/>
      </c>
    </row>
    <row r="90">
      <c r="A90">
        <f>IF(Stops!A42="","",Stops!A42)</f>
        <v/>
      </c>
      <c r="B90">
        <f>IF(E90="","",IF(E90&lt;=0,"het einde ligt voor het begin",IF(E90&lt;60,"venster korter dan een uur","")))</f>
        <v/>
      </c>
      <c r="D90">
        <f>IF(A90="","",42)</f>
        <v/>
      </c>
      <c r="E90">
        <f>IF(OR(Stops!A42="",Stops!E42="",Stops!F42=""),"",ROUND((Stops!F42-Stops!E42)*1440,0))</f>
        <v/>
      </c>
    </row>
    <row r="91">
      <c r="A91">
        <f>IF(Stops!A43="","",Stops!A43)</f>
        <v/>
      </c>
      <c r="B91">
        <f>IF(E91="","",IF(E91&lt;=0,"het einde ligt voor het begin",IF(E91&lt;60,"venster korter dan een uur","")))</f>
        <v/>
      </c>
      <c r="D91">
        <f>IF(A91="","",43)</f>
        <v/>
      </c>
      <c r="E91">
        <f>IF(OR(Stops!A43="",Stops!E43="",Stops!F43=""),"",ROUND((Stops!F43-Stops!E43)*1440,0))</f>
        <v/>
      </c>
    </row>
    <row r="92">
      <c r="A92">
        <f>IF(Stops!A44="","",Stops!A44)</f>
        <v/>
      </c>
      <c r="B92">
        <f>IF(E92="","",IF(E92&lt;=0,"het einde ligt voor het begin",IF(E92&lt;60,"venster korter dan een uur","")))</f>
        <v/>
      </c>
      <c r="D92">
        <f>IF(A92="","",44)</f>
        <v/>
      </c>
      <c r="E92">
        <f>IF(OR(Stops!A44="",Stops!E44="",Stops!F44=""),"",ROUND((Stops!F44-Stops!E44)*1440,0))</f>
        <v/>
      </c>
    </row>
    <row r="93">
      <c r="A93">
        <f>IF(Stops!A45="","",Stops!A45)</f>
        <v/>
      </c>
      <c r="B93">
        <f>IF(E93="","",IF(E93&lt;=0,"het einde ligt voor het begin",IF(E93&lt;60,"venster korter dan een uur","")))</f>
        <v/>
      </c>
      <c r="D93">
        <f>IF(A93="","",45)</f>
        <v/>
      </c>
      <c r="E93">
        <f>IF(OR(Stops!A45="",Stops!E45="",Stops!F45=""),"",ROUND((Stops!F45-Stops!E45)*1440,0))</f>
        <v/>
      </c>
    </row>
    <row r="94">
      <c r="A94">
        <f>IF(Stops!A46="","",Stops!A46)</f>
        <v/>
      </c>
      <c r="B94">
        <f>IF(E94="","",IF(E94&lt;=0,"het einde ligt voor het begin",IF(E94&lt;60,"venster korter dan een uur","")))</f>
        <v/>
      </c>
      <c r="D94">
        <f>IF(A94="","",46)</f>
        <v/>
      </c>
      <c r="E94">
        <f>IF(OR(Stops!A46="",Stops!E46="",Stops!F46=""),"",ROUND((Stops!F46-Stops!E46)*1440,0))</f>
        <v/>
      </c>
    </row>
    <row r="95">
      <c r="A95">
        <f>IF(Stops!A47="","",Stops!A47)</f>
        <v/>
      </c>
      <c r="B95">
        <f>IF(E95="","",IF(E95&lt;=0,"het einde ligt voor het begin",IF(E95&lt;60,"venster korter dan een uur","")))</f>
        <v/>
      </c>
      <c r="D95">
        <f>IF(A95="","",47)</f>
        <v/>
      </c>
      <c r="E95">
        <f>IF(OR(Stops!A47="",Stops!E47="",Stops!F47=""),"",ROUND((Stops!F47-Stops!E47)*1440,0))</f>
        <v/>
      </c>
    </row>
    <row r="96">
      <c r="A96">
        <f>IF(Stops!A48="","",Stops!A48)</f>
        <v/>
      </c>
      <c r="B96">
        <f>IF(E96="","",IF(E96&lt;=0,"het einde ligt voor het begin",IF(E96&lt;60,"venster korter dan een uur","")))</f>
        <v/>
      </c>
      <c r="D96">
        <f>IF(A96="","",48)</f>
        <v/>
      </c>
      <c r="E96">
        <f>IF(OR(Stops!A48="",Stops!E48="",Stops!F48=""),"",ROUND((Stops!F48-Stops!E48)*1440,0))</f>
        <v/>
      </c>
    </row>
    <row r="97">
      <c r="A97">
        <f>IF(Stops!A49="","",Stops!A49)</f>
        <v/>
      </c>
      <c r="B97">
        <f>IF(E97="","",IF(E97&lt;=0,"het einde ligt voor het begin",IF(E97&lt;60,"venster korter dan een uur","")))</f>
        <v/>
      </c>
      <c r="D97">
        <f>IF(A97="","",49)</f>
        <v/>
      </c>
      <c r="E97">
        <f>IF(OR(Stops!A49="",Stops!E49="",Stops!F49=""),"",ROUND((Stops!F49-Stops!E49)*1440,0))</f>
        <v/>
      </c>
    </row>
    <row r="98">
      <c r="A98">
        <f>IF(Stops!A50="","",Stops!A50)</f>
        <v/>
      </c>
      <c r="B98">
        <f>IF(E98="","",IF(E98&lt;=0,"het einde ligt voor het begin",IF(E98&lt;60,"venster korter dan een uur","")))</f>
        <v/>
      </c>
      <c r="D98">
        <f>IF(A98="","",50)</f>
        <v/>
      </c>
      <c r="E98">
        <f>IF(OR(Stops!A50="",Stops!E50="",Stops!F50=""),"",ROUND((Stops!F50-Stops!E50)*1440,0))</f>
        <v/>
      </c>
    </row>
    <row r="99">
      <c r="A99">
        <f>IF(Stops!A51="","",Stops!A51)</f>
        <v/>
      </c>
      <c r="B99">
        <f>IF(E99="","",IF(E99&lt;=0,"het einde ligt voor het begin",IF(E99&lt;60,"venster korter dan een uur","")))</f>
        <v/>
      </c>
      <c r="D99">
        <f>IF(A99="","",51)</f>
        <v/>
      </c>
      <c r="E99">
        <f>IF(OR(Stops!A51="",Stops!E51="",Stops!F51=""),"",ROUND((Stops!F51-Stops!E51)*1440,0))</f>
        <v/>
      </c>
    </row>
    <row r="100">
      <c r="A100">
        <f>IF(Stops!A52="","",Stops!A52)</f>
        <v/>
      </c>
      <c r="B100">
        <f>IF(E100="","",IF(E100&lt;=0,"het einde ligt voor het begin",IF(E100&lt;60,"venster korter dan een uur","")))</f>
        <v/>
      </c>
      <c r="D100">
        <f>IF(A100="","",52)</f>
        <v/>
      </c>
      <c r="E100">
        <f>IF(OR(Stops!A52="",Stops!E52="",Stops!F52=""),"",ROUND((Stops!F52-Stops!E52)*1440,0))</f>
        <v/>
      </c>
    </row>
    <row r="101">
      <c r="A101">
        <f>IF(Stops!A53="","",Stops!A53)</f>
        <v/>
      </c>
      <c r="B101">
        <f>IF(E101="","",IF(E101&lt;=0,"het einde ligt voor het begin",IF(E101&lt;60,"venster korter dan een uur","")))</f>
        <v/>
      </c>
      <c r="D101">
        <f>IF(A101="","",53)</f>
        <v/>
      </c>
      <c r="E101">
        <f>IF(OR(Stops!A53="",Stops!E53="",Stops!F53=""),"",ROUND((Stops!F53-Stops!E53)*1440,0))</f>
        <v/>
      </c>
    </row>
    <row r="102">
      <c r="A102">
        <f>IF(Stops!A54="","",Stops!A54)</f>
        <v/>
      </c>
      <c r="B102">
        <f>IF(E102="","",IF(E102&lt;=0,"het einde ligt voor het begin",IF(E102&lt;60,"venster korter dan een uur","")))</f>
        <v/>
      </c>
      <c r="D102">
        <f>IF(A102="","",54)</f>
        <v/>
      </c>
      <c r="E102">
        <f>IF(OR(Stops!A54="",Stops!E54="",Stops!F54=""),"",ROUND((Stops!F54-Stops!E54)*1440,0))</f>
        <v/>
      </c>
    </row>
    <row r="103">
      <c r="A103">
        <f>IF(Stops!A55="","",Stops!A55)</f>
        <v/>
      </c>
      <c r="B103">
        <f>IF(E103="","",IF(E103&lt;=0,"het einde ligt voor het begin",IF(E103&lt;60,"venster korter dan een uur","")))</f>
        <v/>
      </c>
      <c r="D103">
        <f>IF(A103="","",55)</f>
        <v/>
      </c>
      <c r="E103">
        <f>IF(OR(Stops!A55="",Stops!E55="",Stops!F55=""),"",ROUND((Stops!F55-Stops!E55)*1440,0))</f>
        <v/>
      </c>
    </row>
    <row r="104">
      <c r="A104">
        <f>IF(Stops!A56="","",Stops!A56)</f>
        <v/>
      </c>
      <c r="B104">
        <f>IF(E104="","",IF(E104&lt;=0,"het einde ligt voor het begin",IF(E104&lt;60,"venster korter dan een uur","")))</f>
        <v/>
      </c>
      <c r="D104">
        <f>IF(A104="","",56)</f>
        <v/>
      </c>
      <c r="E104">
        <f>IF(OR(Stops!A56="",Stops!E56="",Stops!F56=""),"",ROUND((Stops!F56-Stops!E56)*1440,0))</f>
        <v/>
      </c>
    </row>
    <row r="105">
      <c r="A105">
        <f>IF(Stops!A57="","",Stops!A57)</f>
        <v/>
      </c>
      <c r="B105">
        <f>IF(E105="","",IF(E105&lt;=0,"het einde ligt voor het begin",IF(E105&lt;60,"venster korter dan een uur","")))</f>
        <v/>
      </c>
      <c r="D105">
        <f>IF(A105="","",57)</f>
        <v/>
      </c>
      <c r="E105">
        <f>IF(OR(Stops!A57="",Stops!E57="",Stops!F57=""),"",ROUND((Stops!F57-Stops!E57)*1440,0))</f>
        <v/>
      </c>
    </row>
    <row r="106">
      <c r="A106">
        <f>IF(Stops!A58="","",Stops!A58)</f>
        <v/>
      </c>
      <c r="B106">
        <f>IF(E106="","",IF(E106&lt;=0,"het einde ligt voor het begin",IF(E106&lt;60,"venster korter dan een uur","")))</f>
        <v/>
      </c>
      <c r="D106">
        <f>IF(A106="","",58)</f>
        <v/>
      </c>
      <c r="E106">
        <f>IF(OR(Stops!A58="",Stops!E58="",Stops!F58=""),"",ROUND((Stops!F58-Stops!E58)*1440,0))</f>
        <v/>
      </c>
    </row>
    <row r="107">
      <c r="A107">
        <f>IF(Stops!A59="","",Stops!A59)</f>
        <v/>
      </c>
      <c r="B107">
        <f>IF(E107="","",IF(E107&lt;=0,"het einde ligt voor het begin",IF(E107&lt;60,"venster korter dan een uur","")))</f>
        <v/>
      </c>
      <c r="D107">
        <f>IF(A107="","",59)</f>
        <v/>
      </c>
      <c r="E107">
        <f>IF(OR(Stops!A59="",Stops!E59="",Stops!F59=""),"",ROUND((Stops!F59-Stops!E59)*1440,0))</f>
        <v/>
      </c>
    </row>
    <row r="108">
      <c r="A108">
        <f>IF(Stops!A60="","",Stops!A60)</f>
        <v/>
      </c>
      <c r="B108">
        <f>IF(E108="","",IF(E108&lt;=0,"het einde ligt voor het begin",IF(E108&lt;60,"venster korter dan een uur","")))</f>
        <v/>
      </c>
      <c r="D108">
        <f>IF(A108="","",60)</f>
        <v/>
      </c>
      <c r="E108">
        <f>IF(OR(Stops!A60="",Stops!E60="",Stops!F60=""),"",ROUND((Stops!F60-Stops!E60)*1440,0))</f>
        <v/>
      </c>
    </row>
    <row r="109">
      <c r="A109">
        <f>IF(Stops!A61="","",Stops!A61)</f>
        <v/>
      </c>
      <c r="B109">
        <f>IF(E109="","",IF(E109&lt;=0,"het einde ligt voor het begin",IF(E109&lt;60,"venster korter dan een uur","")))</f>
        <v/>
      </c>
      <c r="D109">
        <f>IF(A109="","",61)</f>
        <v/>
      </c>
      <c r="E109">
        <f>IF(OR(Stops!A61="",Stops!E61="",Stops!F61=""),"",ROUND((Stops!F61-Stops!E61)*1440,0))</f>
        <v/>
      </c>
    </row>
    <row r="110">
      <c r="A110">
        <f>IF(Stops!A62="","",Stops!A62)</f>
        <v/>
      </c>
      <c r="B110">
        <f>IF(E110="","",IF(E110&lt;=0,"het einde ligt voor het begin",IF(E110&lt;60,"venster korter dan een uur","")))</f>
        <v/>
      </c>
      <c r="D110">
        <f>IF(A110="","",62)</f>
        <v/>
      </c>
      <c r="E110">
        <f>IF(OR(Stops!A62="",Stops!E62="",Stops!F62=""),"",ROUND((Stops!F62-Stops!E62)*1440,0))</f>
        <v/>
      </c>
    </row>
    <row r="111">
      <c r="A111">
        <f>IF(Stops!A63="","",Stops!A63)</f>
        <v/>
      </c>
      <c r="B111">
        <f>IF(E111="","",IF(E111&lt;=0,"het einde ligt voor het begin",IF(E111&lt;60,"venster korter dan een uur","")))</f>
        <v/>
      </c>
      <c r="D111">
        <f>IF(A111="","",63)</f>
        <v/>
      </c>
      <c r="E111">
        <f>IF(OR(Stops!A63="",Stops!E63="",Stops!F63=""),"",ROUND((Stops!F63-Stops!E63)*1440,0))</f>
        <v/>
      </c>
    </row>
    <row r="112">
      <c r="A112">
        <f>IF(Stops!A64="","",Stops!A64)</f>
        <v/>
      </c>
      <c r="B112">
        <f>IF(E112="","",IF(E112&lt;=0,"het einde ligt voor het begin",IF(E112&lt;60,"venster korter dan een uur","")))</f>
        <v/>
      </c>
      <c r="D112">
        <f>IF(A112="","",64)</f>
        <v/>
      </c>
      <c r="E112">
        <f>IF(OR(Stops!A64="",Stops!E64="",Stops!F64=""),"",ROUND((Stops!F64-Stops!E64)*1440,0))</f>
        <v/>
      </c>
    </row>
    <row r="113">
      <c r="A113">
        <f>IF(Stops!A65="","",Stops!A65)</f>
        <v/>
      </c>
      <c r="B113">
        <f>IF(E113="","",IF(E113&lt;=0,"het einde ligt voor het begin",IF(E113&lt;60,"venster korter dan een uur","")))</f>
        <v/>
      </c>
      <c r="D113">
        <f>IF(A113="","",65)</f>
        <v/>
      </c>
      <c r="E113">
        <f>IF(OR(Stops!A65="",Stops!E65="",Stops!F65=""),"",ROUND((Stops!F65-Stops!E65)*1440,0))</f>
        <v/>
      </c>
    </row>
    <row r="114">
      <c r="A114">
        <f>IF(Stops!A66="","",Stops!A66)</f>
        <v/>
      </c>
      <c r="B114">
        <f>IF(E114="","",IF(E114&lt;=0,"het einde ligt voor het begin",IF(E114&lt;60,"venster korter dan een uur","")))</f>
        <v/>
      </c>
      <c r="D114">
        <f>IF(A114="","",66)</f>
        <v/>
      </c>
      <c r="E114">
        <f>IF(OR(Stops!A66="",Stops!E66="",Stops!F66=""),"",ROUND((Stops!F66-Stops!E66)*1440,0))</f>
        <v/>
      </c>
    </row>
    <row r="115">
      <c r="A115">
        <f>IF(Stops!A67="","",Stops!A67)</f>
        <v/>
      </c>
      <c r="B115">
        <f>IF(E115="","",IF(E115&lt;=0,"het einde ligt voor het begin",IF(E115&lt;60,"venster korter dan een uur","")))</f>
        <v/>
      </c>
      <c r="D115">
        <f>IF(A115="","",67)</f>
        <v/>
      </c>
      <c r="E115">
        <f>IF(OR(Stops!A67="",Stops!E67="",Stops!F67=""),"",ROUND((Stops!F67-Stops!E67)*1440,0))</f>
        <v/>
      </c>
    </row>
    <row r="116">
      <c r="A116">
        <f>IF(Stops!A68="","",Stops!A68)</f>
        <v/>
      </c>
      <c r="B116">
        <f>IF(E116="","",IF(E116&lt;=0,"het einde ligt voor het begin",IF(E116&lt;60,"venster korter dan een uur","")))</f>
        <v/>
      </c>
      <c r="D116">
        <f>IF(A116="","",68)</f>
        <v/>
      </c>
      <c r="E116">
        <f>IF(OR(Stops!A68="",Stops!E68="",Stops!F68=""),"",ROUND((Stops!F68-Stops!E68)*1440,0))</f>
        <v/>
      </c>
    </row>
    <row r="117">
      <c r="A117">
        <f>IF(Stops!A69="","",Stops!A69)</f>
        <v/>
      </c>
      <c r="B117">
        <f>IF(E117="","",IF(E117&lt;=0,"het einde ligt voor het begin",IF(E117&lt;60,"venster korter dan een uur","")))</f>
        <v/>
      </c>
      <c r="D117">
        <f>IF(A117="","",69)</f>
        <v/>
      </c>
      <c r="E117">
        <f>IF(OR(Stops!A69="",Stops!E69="",Stops!F69=""),"",ROUND((Stops!F69-Stops!E69)*1440,0))</f>
        <v/>
      </c>
    </row>
    <row r="118">
      <c r="A118">
        <f>IF(Stops!A70="","",Stops!A70)</f>
        <v/>
      </c>
      <c r="B118">
        <f>IF(E118="","",IF(E118&lt;=0,"het einde ligt voor het begin",IF(E118&lt;60,"venster korter dan een uur","")))</f>
        <v/>
      </c>
      <c r="D118">
        <f>IF(A118="","",70)</f>
        <v/>
      </c>
      <c r="E118">
        <f>IF(OR(Stops!A70="",Stops!E70="",Stops!F70=""),"",ROUND((Stops!F70-Stops!E70)*1440,0))</f>
        <v/>
      </c>
    </row>
    <row r="119">
      <c r="A119">
        <f>IF(Stops!A71="","",Stops!A71)</f>
        <v/>
      </c>
      <c r="B119">
        <f>IF(E119="","",IF(E119&lt;=0,"het einde ligt voor het begin",IF(E119&lt;60,"venster korter dan een uur","")))</f>
        <v/>
      </c>
      <c r="D119">
        <f>IF(A119="","",71)</f>
        <v/>
      </c>
      <c r="E119">
        <f>IF(OR(Stops!A71="",Stops!E71="",Stops!F71=""),"",ROUND((Stops!F71-Stops!E71)*1440,0))</f>
        <v/>
      </c>
    </row>
    <row r="120">
      <c r="A120">
        <f>IF(Stops!A72="","",Stops!A72)</f>
        <v/>
      </c>
      <c r="B120">
        <f>IF(E120="","",IF(E120&lt;=0,"het einde ligt voor het begin",IF(E120&lt;60,"venster korter dan een uur","")))</f>
        <v/>
      </c>
      <c r="D120">
        <f>IF(A120="","",72)</f>
        <v/>
      </c>
      <c r="E120">
        <f>IF(OR(Stops!A72="",Stops!E72="",Stops!F72=""),"",ROUND((Stops!F72-Stops!E72)*1440,0))</f>
        <v/>
      </c>
    </row>
    <row r="121">
      <c r="A121">
        <f>IF(Stops!A73="","",Stops!A73)</f>
        <v/>
      </c>
      <c r="B121">
        <f>IF(E121="","",IF(E121&lt;=0,"het einde ligt voor het begin",IF(E121&lt;60,"venster korter dan een uur","")))</f>
        <v/>
      </c>
      <c r="D121">
        <f>IF(A121="","",73)</f>
        <v/>
      </c>
      <c r="E121">
        <f>IF(OR(Stops!A73="",Stops!E73="",Stops!F73=""),"",ROUND((Stops!F73-Stops!E73)*1440,0))</f>
        <v/>
      </c>
    </row>
    <row r="122">
      <c r="A122">
        <f>IF(Stops!A74="","",Stops!A74)</f>
        <v/>
      </c>
      <c r="B122">
        <f>IF(E122="","",IF(E122&lt;=0,"het einde ligt voor het begin",IF(E122&lt;60,"venster korter dan een uur","")))</f>
        <v/>
      </c>
      <c r="D122">
        <f>IF(A122="","",74)</f>
        <v/>
      </c>
      <c r="E122">
        <f>IF(OR(Stops!A74="",Stops!E74="",Stops!F74=""),"",ROUND((Stops!F74-Stops!E74)*1440,0))</f>
        <v/>
      </c>
    </row>
    <row r="123">
      <c r="A123">
        <f>IF(Stops!A75="","",Stops!A75)</f>
        <v/>
      </c>
      <c r="B123">
        <f>IF(E123="","",IF(E123&lt;=0,"het einde ligt voor het begin",IF(E123&lt;60,"venster korter dan een uur","")))</f>
        <v/>
      </c>
      <c r="D123">
        <f>IF(A123="","",75)</f>
        <v/>
      </c>
      <c r="E123">
        <f>IF(OR(Stops!A75="",Stops!E75="",Stops!F75=""),"",ROUND((Stops!F75-Stops!E75)*1440,0))</f>
        <v/>
      </c>
    </row>
    <row r="124">
      <c r="A124">
        <f>IF(Stops!A76="","",Stops!A76)</f>
        <v/>
      </c>
      <c r="B124">
        <f>IF(E124="","",IF(E124&lt;=0,"het einde ligt voor het begin",IF(E124&lt;60,"venster korter dan een uur","")))</f>
        <v/>
      </c>
      <c r="D124">
        <f>IF(A124="","",76)</f>
        <v/>
      </c>
      <c r="E124">
        <f>IF(OR(Stops!A76="",Stops!E76="",Stops!F76=""),"",ROUND((Stops!F76-Stops!E76)*1440,0))</f>
        <v/>
      </c>
    </row>
    <row r="125">
      <c r="A125">
        <f>IF(Stops!A77="","",Stops!A77)</f>
        <v/>
      </c>
      <c r="B125">
        <f>IF(E125="","",IF(E125&lt;=0,"het einde ligt voor het begin",IF(E125&lt;60,"venster korter dan een uur","")))</f>
        <v/>
      </c>
      <c r="D125">
        <f>IF(A125="","",77)</f>
        <v/>
      </c>
      <c r="E125">
        <f>IF(OR(Stops!A77="",Stops!E77="",Stops!F77=""),"",ROUND((Stops!F77-Stops!E77)*1440,0))</f>
        <v/>
      </c>
    </row>
    <row r="126">
      <c r="A126">
        <f>IF(Stops!A78="","",Stops!A78)</f>
        <v/>
      </c>
      <c r="B126">
        <f>IF(E126="","",IF(E126&lt;=0,"het einde ligt voor het begin",IF(E126&lt;60,"venster korter dan een uur","")))</f>
        <v/>
      </c>
      <c r="D126">
        <f>IF(A126="","",78)</f>
        <v/>
      </c>
      <c r="E126">
        <f>IF(OR(Stops!A78="",Stops!E78="",Stops!F78=""),"",ROUND((Stops!F78-Stops!E78)*1440,0))</f>
        <v/>
      </c>
    </row>
    <row r="127">
      <c r="A127">
        <f>IF(Stops!A79="","",Stops!A79)</f>
        <v/>
      </c>
      <c r="B127">
        <f>IF(E127="","",IF(E127&lt;=0,"het einde ligt voor het begin",IF(E127&lt;60,"venster korter dan een uur","")))</f>
        <v/>
      </c>
      <c r="D127">
        <f>IF(A127="","",79)</f>
        <v/>
      </c>
      <c r="E127">
        <f>IF(OR(Stops!A79="",Stops!E79="",Stops!F79=""),"",ROUND((Stops!F79-Stops!E79)*1440,0))</f>
        <v/>
      </c>
    </row>
    <row r="128">
      <c r="A128">
        <f>IF(Stops!A80="","",Stops!A80)</f>
        <v/>
      </c>
      <c r="B128">
        <f>IF(E128="","",IF(E128&lt;=0,"het einde ligt voor het begin",IF(E128&lt;60,"venster korter dan een uur","")))</f>
        <v/>
      </c>
      <c r="D128">
        <f>IF(A128="","",80)</f>
        <v/>
      </c>
      <c r="E128">
        <f>IF(OR(Stops!A80="",Stops!E80="",Stops!F80=""),"",ROUND((Stops!F80-Stops!E80)*1440,0))</f>
        <v/>
      </c>
    </row>
    <row r="129">
      <c r="A129">
        <f>IF(Stops!A81="","",Stops!A81)</f>
        <v/>
      </c>
      <c r="B129">
        <f>IF(E129="","",IF(E129&lt;=0,"het einde ligt voor het begin",IF(E129&lt;60,"venster korter dan een uur","")))</f>
        <v/>
      </c>
      <c r="D129">
        <f>IF(A129="","",81)</f>
        <v/>
      </c>
      <c r="E129">
        <f>IF(OR(Stops!A81="",Stops!E81="",Stops!F81=""),"",ROUND((Stops!F81-Stops!E81)*1440,0))</f>
        <v/>
      </c>
    </row>
    <row r="130">
      <c r="A130">
        <f>IF(Stops!A82="","",Stops!A82)</f>
        <v/>
      </c>
      <c r="B130">
        <f>IF(E130="","",IF(E130&lt;=0,"het einde ligt voor het begin",IF(E130&lt;60,"venster korter dan een uur","")))</f>
        <v/>
      </c>
      <c r="D130">
        <f>IF(A130="","",82)</f>
        <v/>
      </c>
      <c r="E130">
        <f>IF(OR(Stops!A82="",Stops!E82="",Stops!F82=""),"",ROUND((Stops!F82-Stops!E82)*1440,0))</f>
        <v/>
      </c>
    </row>
    <row r="131">
      <c r="A131">
        <f>IF(Stops!A83="","",Stops!A83)</f>
        <v/>
      </c>
      <c r="B131">
        <f>IF(E131="","",IF(E131&lt;=0,"het einde ligt voor het begin",IF(E131&lt;60,"venster korter dan een uur","")))</f>
        <v/>
      </c>
      <c r="D131">
        <f>IF(A131="","",83)</f>
        <v/>
      </c>
      <c r="E131">
        <f>IF(OR(Stops!A83="",Stops!E83="",Stops!F83=""),"",ROUND((Stops!F83-Stops!E83)*1440,0))</f>
        <v/>
      </c>
    </row>
    <row r="132">
      <c r="A132">
        <f>IF(Stops!A84="","",Stops!A84)</f>
        <v/>
      </c>
      <c r="B132">
        <f>IF(E132="","",IF(E132&lt;=0,"het einde ligt voor het begin",IF(E132&lt;60,"venster korter dan een uur","")))</f>
        <v/>
      </c>
      <c r="D132">
        <f>IF(A132="","",84)</f>
        <v/>
      </c>
      <c r="E132">
        <f>IF(OR(Stops!A84="",Stops!E84="",Stops!F84=""),"",ROUND((Stops!F84-Stops!E84)*1440,0))</f>
        <v/>
      </c>
    </row>
    <row r="133">
      <c r="A133">
        <f>IF(Stops!A85="","",Stops!A85)</f>
        <v/>
      </c>
      <c r="B133">
        <f>IF(E133="","",IF(E133&lt;=0,"het einde ligt voor het begin",IF(E133&lt;60,"venster korter dan een uur","")))</f>
        <v/>
      </c>
      <c r="D133">
        <f>IF(A133="","",85)</f>
        <v/>
      </c>
      <c r="E133">
        <f>IF(OR(Stops!A85="",Stops!E85="",Stops!F85=""),"",ROUND((Stops!F85-Stops!E85)*1440,0))</f>
        <v/>
      </c>
    </row>
    <row r="134">
      <c r="A134">
        <f>IF(Stops!A86="","",Stops!A86)</f>
        <v/>
      </c>
      <c r="B134">
        <f>IF(E134="","",IF(E134&lt;=0,"het einde ligt voor het begin",IF(E134&lt;60,"venster korter dan een uur","")))</f>
        <v/>
      </c>
      <c r="D134">
        <f>IF(A134="","",86)</f>
        <v/>
      </c>
      <c r="E134">
        <f>IF(OR(Stops!A86="",Stops!E86="",Stops!F86=""),"",ROUND((Stops!F86-Stops!E86)*1440,0))</f>
        <v/>
      </c>
    </row>
    <row r="135">
      <c r="A135">
        <f>IF(Stops!A87="","",Stops!A87)</f>
        <v/>
      </c>
      <c r="B135">
        <f>IF(E135="","",IF(E135&lt;=0,"het einde ligt voor het begin",IF(E135&lt;60,"venster korter dan een uur","")))</f>
        <v/>
      </c>
      <c r="D135">
        <f>IF(A135="","",87)</f>
        <v/>
      </c>
      <c r="E135">
        <f>IF(OR(Stops!A87="",Stops!E87="",Stops!F87=""),"",ROUND((Stops!F87-Stops!E87)*1440,0))</f>
        <v/>
      </c>
    </row>
    <row r="136">
      <c r="A136">
        <f>IF(Stops!A88="","",Stops!A88)</f>
        <v/>
      </c>
      <c r="B136">
        <f>IF(E136="","",IF(E136&lt;=0,"het einde ligt voor het begin",IF(E136&lt;60,"venster korter dan een uur","")))</f>
        <v/>
      </c>
      <c r="D136">
        <f>IF(A136="","",88)</f>
        <v/>
      </c>
      <c r="E136">
        <f>IF(OR(Stops!A88="",Stops!E88="",Stops!F88=""),"",ROUND((Stops!F88-Stops!E88)*1440,0))</f>
        <v/>
      </c>
    </row>
    <row r="137">
      <c r="A137">
        <f>IF(Stops!A89="","",Stops!A89)</f>
        <v/>
      </c>
      <c r="B137">
        <f>IF(E137="","",IF(E137&lt;=0,"het einde ligt voor het begin",IF(E137&lt;60,"venster korter dan een uur","")))</f>
        <v/>
      </c>
      <c r="D137">
        <f>IF(A137="","",89)</f>
        <v/>
      </c>
      <c r="E137">
        <f>IF(OR(Stops!A89="",Stops!E89="",Stops!F89=""),"",ROUND((Stops!F89-Stops!E89)*1440,0))</f>
        <v/>
      </c>
    </row>
    <row r="138">
      <c r="A138">
        <f>IF(Stops!A90="","",Stops!A90)</f>
        <v/>
      </c>
      <c r="B138">
        <f>IF(E138="","",IF(E138&lt;=0,"het einde ligt voor het begin",IF(E138&lt;60,"venster korter dan een uur","")))</f>
        <v/>
      </c>
      <c r="D138">
        <f>IF(A138="","",90)</f>
        <v/>
      </c>
      <c r="E138">
        <f>IF(OR(Stops!A90="",Stops!E90="",Stops!F90=""),"",ROUND((Stops!F90-Stops!E90)*1440,0))</f>
        <v/>
      </c>
    </row>
    <row r="139">
      <c r="A139">
        <f>IF(Stops!A91="","",Stops!A91)</f>
        <v/>
      </c>
      <c r="B139">
        <f>IF(E139="","",IF(E139&lt;=0,"het einde ligt voor het begin",IF(E139&lt;60,"venster korter dan een uur","")))</f>
        <v/>
      </c>
      <c r="D139">
        <f>IF(A139="","",91)</f>
        <v/>
      </c>
      <c r="E139">
        <f>IF(OR(Stops!A91="",Stops!E91="",Stops!F91=""),"",ROUND((Stops!F91-Stops!E91)*1440,0))</f>
        <v/>
      </c>
    </row>
    <row r="140">
      <c r="A140">
        <f>IF(Stops!A92="","",Stops!A92)</f>
        <v/>
      </c>
      <c r="B140">
        <f>IF(E140="","",IF(E140&lt;=0,"het einde ligt voor het begin",IF(E140&lt;60,"venster korter dan een uur","")))</f>
        <v/>
      </c>
      <c r="D140">
        <f>IF(A140="","",92)</f>
        <v/>
      </c>
      <c r="E140">
        <f>IF(OR(Stops!A92="",Stops!E92="",Stops!F92=""),"",ROUND((Stops!F92-Stops!E92)*1440,0))</f>
        <v/>
      </c>
    </row>
    <row r="141">
      <c r="A141">
        <f>IF(Stops!A93="","",Stops!A93)</f>
        <v/>
      </c>
      <c r="B141">
        <f>IF(E141="","",IF(E141&lt;=0,"het einde ligt voor het begin",IF(E141&lt;60,"venster korter dan een uur","")))</f>
        <v/>
      </c>
      <c r="D141">
        <f>IF(A141="","",93)</f>
        <v/>
      </c>
      <c r="E141">
        <f>IF(OR(Stops!A93="",Stops!E93="",Stops!F93=""),"",ROUND((Stops!F93-Stops!E93)*1440,0))</f>
        <v/>
      </c>
    </row>
    <row r="142">
      <c r="A142">
        <f>IF(Stops!A94="","",Stops!A94)</f>
        <v/>
      </c>
      <c r="B142">
        <f>IF(E142="","",IF(E142&lt;=0,"het einde ligt voor het begin",IF(E142&lt;60,"venster korter dan een uur","")))</f>
        <v/>
      </c>
      <c r="D142">
        <f>IF(A142="","",94)</f>
        <v/>
      </c>
      <c r="E142">
        <f>IF(OR(Stops!A94="",Stops!E94="",Stops!F94=""),"",ROUND((Stops!F94-Stops!E94)*1440,0))</f>
        <v/>
      </c>
    </row>
    <row r="143">
      <c r="A143">
        <f>IF(Stops!A95="","",Stops!A95)</f>
        <v/>
      </c>
      <c r="B143">
        <f>IF(E143="","",IF(E143&lt;=0,"het einde ligt voor het begin",IF(E143&lt;60,"venster korter dan een uur","")))</f>
        <v/>
      </c>
      <c r="D143">
        <f>IF(A143="","",95)</f>
        <v/>
      </c>
      <c r="E143">
        <f>IF(OR(Stops!A95="",Stops!E95="",Stops!F95=""),"",ROUND((Stops!F95-Stops!E95)*1440,0))</f>
        <v/>
      </c>
    </row>
    <row r="144">
      <c r="A144">
        <f>IF(Stops!A96="","",Stops!A96)</f>
        <v/>
      </c>
      <c r="B144">
        <f>IF(E144="","",IF(E144&lt;=0,"het einde ligt voor het begin",IF(E144&lt;60,"venster korter dan een uur","")))</f>
        <v/>
      </c>
      <c r="D144">
        <f>IF(A144="","",96)</f>
        <v/>
      </c>
      <c r="E144">
        <f>IF(OR(Stops!A96="",Stops!E96="",Stops!F96=""),"",ROUND((Stops!F96-Stops!E96)*1440,0))</f>
        <v/>
      </c>
    </row>
    <row r="145">
      <c r="A145">
        <f>IF(Stops!A97="","",Stops!A97)</f>
        <v/>
      </c>
      <c r="B145">
        <f>IF(E145="","",IF(E145&lt;=0,"het einde ligt voor het begin",IF(E145&lt;60,"venster korter dan een uur","")))</f>
        <v/>
      </c>
      <c r="D145">
        <f>IF(A145="","",97)</f>
        <v/>
      </c>
      <c r="E145">
        <f>IF(OR(Stops!A97="",Stops!E97="",Stops!F97=""),"",ROUND((Stops!F97-Stops!E97)*1440,0))</f>
        <v/>
      </c>
    </row>
    <row r="146">
      <c r="A146">
        <f>IF(Stops!A98="","",Stops!A98)</f>
        <v/>
      </c>
      <c r="B146">
        <f>IF(E146="","",IF(E146&lt;=0,"het einde ligt voor het begin",IF(E146&lt;60,"venster korter dan een uur","")))</f>
        <v/>
      </c>
      <c r="D146">
        <f>IF(A146="","",98)</f>
        <v/>
      </c>
      <c r="E146">
        <f>IF(OR(Stops!A98="",Stops!E98="",Stops!F98=""),"",ROUND((Stops!F98-Stops!E98)*1440,0))</f>
        <v/>
      </c>
    </row>
    <row r="147">
      <c r="A147">
        <f>IF(Stops!A99="","",Stops!A99)</f>
        <v/>
      </c>
      <c r="B147">
        <f>IF(E147="","",IF(E147&lt;=0,"het einde ligt voor het begin",IF(E147&lt;60,"venster korter dan een uur","")))</f>
        <v/>
      </c>
      <c r="D147">
        <f>IF(A147="","",99)</f>
        <v/>
      </c>
      <c r="E147">
        <f>IF(OR(Stops!A99="",Stops!E99="",Stops!F99=""),"",ROUND((Stops!F99-Stops!E99)*1440,0))</f>
        <v/>
      </c>
    </row>
    <row r="148">
      <c r="A148">
        <f>IF(Stops!A100="","",Stops!A100)</f>
        <v/>
      </c>
      <c r="B148">
        <f>IF(E148="","",IF(E148&lt;=0,"het einde ligt voor het begin",IF(E148&lt;60,"venster korter dan een uur","")))</f>
        <v/>
      </c>
      <c r="D148">
        <f>IF(A148="","",100)</f>
        <v/>
      </c>
      <c r="E148">
        <f>IF(OR(Stops!A100="",Stops!E100="",Stops!F100=""),"",ROUND((Stops!F100-Stops!E100)*1440,0))</f>
        <v/>
      </c>
    </row>
    <row r="149">
      <c r="A149">
        <f>IF(Stops!A101="","",Stops!A101)</f>
        <v/>
      </c>
      <c r="B149">
        <f>IF(E149="","",IF(E149&lt;=0,"het einde ligt voor het begin",IF(E149&lt;60,"venster korter dan een uur","")))</f>
        <v/>
      </c>
      <c r="D149">
        <f>IF(A149="","",101)</f>
        <v/>
      </c>
      <c r="E149">
        <f>IF(OR(Stops!A101="",Stops!E101="",Stops!F101=""),"",ROUND((Stops!F101-Stops!E101)*1440,0))</f>
        <v/>
      </c>
    </row>
    <row r="150">
      <c r="A150">
        <f>IF(Stops!A102="","",Stops!A102)</f>
        <v/>
      </c>
      <c r="B150">
        <f>IF(E150="","",IF(E150&lt;=0,"het einde ligt voor het begin",IF(E150&lt;60,"venster korter dan een uur","")))</f>
        <v/>
      </c>
      <c r="D150">
        <f>IF(A150="","",102)</f>
        <v/>
      </c>
      <c r="E150">
        <f>IF(OR(Stops!A102="",Stops!E102="",Stops!F102=""),"",ROUND((Stops!F102-Stops!E102)*1440,0))</f>
        <v/>
      </c>
    </row>
    <row r="151">
      <c r="A151">
        <f>IF(Stops!A103="","",Stops!A103)</f>
        <v/>
      </c>
      <c r="B151">
        <f>IF(E151="","",IF(E151&lt;=0,"het einde ligt voor het begin",IF(E151&lt;60,"venster korter dan een uur","")))</f>
        <v/>
      </c>
      <c r="D151">
        <f>IF(A151="","",103)</f>
        <v/>
      </c>
      <c r="E151">
        <f>IF(OR(Stops!A103="",Stops!E103="",Stops!F103=""),"",ROUND((Stops!F103-Stops!E103)*1440,0))</f>
        <v/>
      </c>
    </row>
    <row r="152">
      <c r="A152">
        <f>IF(Stops!A104="","",Stops!A104)</f>
        <v/>
      </c>
      <c r="B152">
        <f>IF(E152="","",IF(E152&lt;=0,"het einde ligt voor het begin",IF(E152&lt;60,"venster korter dan een uur","")))</f>
        <v/>
      </c>
      <c r="D152">
        <f>IF(A152="","",104)</f>
        <v/>
      </c>
      <c r="E152">
        <f>IF(OR(Stops!A104="",Stops!E104="",Stops!F104=""),"",ROUND((Stops!F104-Stops!E104)*1440,0))</f>
        <v/>
      </c>
    </row>
    <row r="153">
      <c r="A153">
        <f>IF(Stops!A105="","",Stops!A105)</f>
        <v/>
      </c>
      <c r="B153">
        <f>IF(E153="","",IF(E153&lt;=0,"het einde ligt voor het begin",IF(E153&lt;60,"venster korter dan een uur","")))</f>
        <v/>
      </c>
      <c r="D153">
        <f>IF(A153="","",105)</f>
        <v/>
      </c>
      <c r="E153">
        <f>IF(OR(Stops!A105="",Stops!E105="",Stops!F105=""),"",ROUND((Stops!F105-Stops!E105)*1440,0))</f>
        <v/>
      </c>
    </row>
    <row r="154">
      <c r="A154">
        <f>IF(Stops!A106="","",Stops!A106)</f>
        <v/>
      </c>
      <c r="B154">
        <f>IF(E154="","",IF(E154&lt;=0,"het einde ligt voor het begin",IF(E154&lt;60,"venster korter dan een uur","")))</f>
        <v/>
      </c>
      <c r="D154">
        <f>IF(A154="","",106)</f>
        <v/>
      </c>
      <c r="E154">
        <f>IF(OR(Stops!A106="",Stops!E106="",Stops!F106=""),"",ROUND((Stops!F106-Stops!E106)*1440,0))</f>
        <v/>
      </c>
    </row>
    <row r="155">
      <c r="A155">
        <f>IF(Stops!A107="","",Stops!A107)</f>
        <v/>
      </c>
      <c r="B155">
        <f>IF(E155="","",IF(E155&lt;=0,"het einde ligt voor het begin",IF(E155&lt;60,"venster korter dan een uur","")))</f>
        <v/>
      </c>
      <c r="D155">
        <f>IF(A155="","",107)</f>
        <v/>
      </c>
      <c r="E155">
        <f>IF(OR(Stops!A107="",Stops!E107="",Stops!F107=""),"",ROUND((Stops!F107-Stops!E107)*1440,0))</f>
        <v/>
      </c>
    </row>
    <row r="156">
      <c r="A156">
        <f>IF(Stops!A108="","",Stops!A108)</f>
        <v/>
      </c>
      <c r="B156">
        <f>IF(E156="","",IF(E156&lt;=0,"het einde ligt voor het begin",IF(E156&lt;60,"venster korter dan een uur","")))</f>
        <v/>
      </c>
      <c r="D156">
        <f>IF(A156="","",108)</f>
        <v/>
      </c>
      <c r="E156">
        <f>IF(OR(Stops!A108="",Stops!E108="",Stops!F108=""),"",ROUND((Stops!F108-Stops!E108)*1440,0))</f>
        <v/>
      </c>
    </row>
    <row r="157">
      <c r="A157">
        <f>IF(Stops!A109="","",Stops!A109)</f>
        <v/>
      </c>
      <c r="B157">
        <f>IF(E157="","",IF(E157&lt;=0,"het einde ligt voor het begin",IF(E157&lt;60,"venster korter dan een uur","")))</f>
        <v/>
      </c>
      <c r="D157">
        <f>IF(A157="","",109)</f>
        <v/>
      </c>
      <c r="E157">
        <f>IF(OR(Stops!A109="",Stops!E109="",Stops!F109=""),"",ROUND((Stops!F109-Stops!E109)*1440,0))</f>
        <v/>
      </c>
    </row>
    <row r="158">
      <c r="A158">
        <f>IF(Stops!A110="","",Stops!A110)</f>
        <v/>
      </c>
      <c r="B158">
        <f>IF(E158="","",IF(E158&lt;=0,"het einde ligt voor het begin",IF(E158&lt;60,"venster korter dan een uur","")))</f>
        <v/>
      </c>
      <c r="D158">
        <f>IF(A158="","",110)</f>
        <v/>
      </c>
      <c r="E158">
        <f>IF(OR(Stops!A110="",Stops!E110="",Stops!F110=""),"",ROUND((Stops!F110-Stops!E110)*1440,0))</f>
        <v/>
      </c>
    </row>
    <row r="159">
      <c r="A159">
        <f>IF(Stops!A111="","",Stops!A111)</f>
        <v/>
      </c>
      <c r="B159">
        <f>IF(E159="","",IF(E159&lt;=0,"het einde ligt voor het begin",IF(E159&lt;60,"venster korter dan een uur","")))</f>
        <v/>
      </c>
      <c r="D159">
        <f>IF(A159="","",111)</f>
        <v/>
      </c>
      <c r="E159">
        <f>IF(OR(Stops!A111="",Stops!E111="",Stops!F111=""),"",ROUND((Stops!F111-Stops!E111)*1440,0))</f>
        <v/>
      </c>
    </row>
    <row r="160">
      <c r="A160">
        <f>IF(Stops!A112="","",Stops!A112)</f>
        <v/>
      </c>
      <c r="B160">
        <f>IF(E160="","",IF(E160&lt;=0,"het einde ligt voor het begin",IF(E160&lt;60,"venster korter dan een uur","")))</f>
        <v/>
      </c>
      <c r="D160">
        <f>IF(A160="","",112)</f>
        <v/>
      </c>
      <c r="E160">
        <f>IF(OR(Stops!A112="",Stops!E112="",Stops!F112=""),"",ROUND((Stops!F112-Stops!E112)*1440,0))</f>
        <v/>
      </c>
    </row>
    <row r="161">
      <c r="A161">
        <f>IF(Stops!A113="","",Stops!A113)</f>
        <v/>
      </c>
      <c r="B161">
        <f>IF(E161="","",IF(E161&lt;=0,"het einde ligt voor het begin",IF(E161&lt;60,"venster korter dan een uur","")))</f>
        <v/>
      </c>
      <c r="D161">
        <f>IF(A161="","",113)</f>
        <v/>
      </c>
      <c r="E161">
        <f>IF(OR(Stops!A113="",Stops!E113="",Stops!F113=""),"",ROUND((Stops!F113-Stops!E113)*1440,0))</f>
        <v/>
      </c>
    </row>
    <row r="162">
      <c r="A162">
        <f>IF(Stops!A114="","",Stops!A114)</f>
        <v/>
      </c>
      <c r="B162">
        <f>IF(E162="","",IF(E162&lt;=0,"het einde ligt voor het begin",IF(E162&lt;60,"venster korter dan een uur","")))</f>
        <v/>
      </c>
      <c r="D162">
        <f>IF(A162="","",114)</f>
        <v/>
      </c>
      <c r="E162">
        <f>IF(OR(Stops!A114="",Stops!E114="",Stops!F114=""),"",ROUND((Stops!F114-Stops!E114)*1440,0))</f>
        <v/>
      </c>
    </row>
    <row r="163">
      <c r="A163">
        <f>IF(Stops!A115="","",Stops!A115)</f>
        <v/>
      </c>
      <c r="B163">
        <f>IF(E163="","",IF(E163&lt;=0,"het einde ligt voor het begin",IF(E163&lt;60,"venster korter dan een uur","")))</f>
        <v/>
      </c>
      <c r="D163">
        <f>IF(A163="","",115)</f>
        <v/>
      </c>
      <c r="E163">
        <f>IF(OR(Stops!A115="",Stops!E115="",Stops!F115=""),"",ROUND((Stops!F115-Stops!E115)*1440,0))</f>
        <v/>
      </c>
    </row>
    <row r="164">
      <c r="A164">
        <f>IF(Stops!A116="","",Stops!A116)</f>
        <v/>
      </c>
      <c r="B164">
        <f>IF(E164="","",IF(E164&lt;=0,"het einde ligt voor het begin",IF(E164&lt;60,"venster korter dan een uur","")))</f>
        <v/>
      </c>
      <c r="D164">
        <f>IF(A164="","",116)</f>
        <v/>
      </c>
      <c r="E164">
        <f>IF(OR(Stops!A116="",Stops!E116="",Stops!F116=""),"",ROUND((Stops!F116-Stops!E116)*1440,0))</f>
        <v/>
      </c>
    </row>
    <row r="165">
      <c r="A165">
        <f>IF(Stops!A117="","",Stops!A117)</f>
        <v/>
      </c>
      <c r="B165">
        <f>IF(E165="","",IF(E165&lt;=0,"het einde ligt voor het begin",IF(E165&lt;60,"venster korter dan een uur","")))</f>
        <v/>
      </c>
      <c r="D165">
        <f>IF(A165="","",117)</f>
        <v/>
      </c>
      <c r="E165">
        <f>IF(OR(Stops!A117="",Stops!E117="",Stops!F117=""),"",ROUND((Stops!F117-Stops!E117)*1440,0))</f>
        <v/>
      </c>
    </row>
    <row r="166">
      <c r="A166">
        <f>IF(Stops!A118="","",Stops!A118)</f>
        <v/>
      </c>
      <c r="B166">
        <f>IF(E166="","",IF(E166&lt;=0,"het einde ligt voor het begin",IF(E166&lt;60,"venster korter dan een uur","")))</f>
        <v/>
      </c>
      <c r="D166">
        <f>IF(A166="","",118)</f>
        <v/>
      </c>
      <c r="E166">
        <f>IF(OR(Stops!A118="",Stops!E118="",Stops!F118=""),"",ROUND((Stops!F118-Stops!E118)*1440,0))</f>
        <v/>
      </c>
    </row>
    <row r="167">
      <c r="A167">
        <f>IF(Stops!A119="","",Stops!A119)</f>
        <v/>
      </c>
      <c r="B167">
        <f>IF(E167="","",IF(E167&lt;=0,"het einde ligt voor het begin",IF(E167&lt;60,"venster korter dan een uur","")))</f>
        <v/>
      </c>
      <c r="D167">
        <f>IF(A167="","",119)</f>
        <v/>
      </c>
      <c r="E167">
        <f>IF(OR(Stops!A119="",Stops!E119="",Stops!F119=""),"",ROUND((Stops!F119-Stops!E119)*1440,0))</f>
        <v/>
      </c>
    </row>
    <row r="168">
      <c r="A168">
        <f>IF(Stops!A120="","",Stops!A120)</f>
        <v/>
      </c>
      <c r="B168">
        <f>IF(E168="","",IF(E168&lt;=0,"het einde ligt voor het begin",IF(E168&lt;60,"venster korter dan een uur","")))</f>
        <v/>
      </c>
      <c r="D168">
        <f>IF(A168="","",120)</f>
        <v/>
      </c>
      <c r="E168">
        <f>IF(OR(Stops!A120="",Stops!E120="",Stops!F120=""),"",ROUND((Stops!F120-Stops!E120)*1440,0))</f>
        <v/>
      </c>
    </row>
    <row r="169">
      <c r="A169">
        <f>IF(Stops!A121="","",Stops!A121)</f>
        <v/>
      </c>
      <c r="B169">
        <f>IF(E169="","",IF(E169&lt;=0,"het einde ligt voor het begin",IF(E169&lt;60,"venster korter dan een uur","")))</f>
        <v/>
      </c>
      <c r="D169">
        <f>IF(A169="","",121)</f>
        <v/>
      </c>
      <c r="E169">
        <f>IF(OR(Stops!A121="",Stops!E121="",Stops!F121=""),"",ROUND((Stops!F121-Stops!E121)*1440,0))</f>
        <v/>
      </c>
    </row>
    <row r="170">
      <c r="A170">
        <f>IF(Stops!A122="","",Stops!A122)</f>
        <v/>
      </c>
      <c r="B170">
        <f>IF(E170="","",IF(E170&lt;=0,"het einde ligt voor het begin",IF(E170&lt;60,"venster korter dan een uur","")))</f>
        <v/>
      </c>
      <c r="D170">
        <f>IF(A170="","",122)</f>
        <v/>
      </c>
      <c r="E170">
        <f>IF(OR(Stops!A122="",Stops!E122="",Stops!F122=""),"",ROUND((Stops!F122-Stops!E122)*1440,0))</f>
        <v/>
      </c>
    </row>
    <row r="171">
      <c r="A171">
        <f>IF(Stops!A123="","",Stops!A123)</f>
        <v/>
      </c>
      <c r="B171">
        <f>IF(E171="","",IF(E171&lt;=0,"het einde ligt voor het begin",IF(E171&lt;60,"venster korter dan een uur","")))</f>
        <v/>
      </c>
      <c r="D171">
        <f>IF(A171="","",123)</f>
        <v/>
      </c>
      <c r="E171">
        <f>IF(OR(Stops!A123="",Stops!E123="",Stops!F123=""),"",ROUND((Stops!F123-Stops!E123)*1440,0))</f>
        <v/>
      </c>
    </row>
    <row r="172">
      <c r="A172">
        <f>IF(Stops!A124="","",Stops!A124)</f>
        <v/>
      </c>
      <c r="B172">
        <f>IF(E172="","",IF(E172&lt;=0,"het einde ligt voor het begin",IF(E172&lt;60,"venster korter dan een uur","")))</f>
        <v/>
      </c>
      <c r="D172">
        <f>IF(A172="","",124)</f>
        <v/>
      </c>
      <c r="E172">
        <f>IF(OR(Stops!A124="",Stops!E124="",Stops!F124=""),"",ROUND((Stops!F124-Stops!E124)*1440,0))</f>
        <v/>
      </c>
    </row>
    <row r="173">
      <c r="A173">
        <f>IF(Stops!A125="","",Stops!A125)</f>
        <v/>
      </c>
      <c r="B173">
        <f>IF(E173="","",IF(E173&lt;=0,"het einde ligt voor het begin",IF(E173&lt;60,"venster korter dan een uur","")))</f>
        <v/>
      </c>
      <c r="D173">
        <f>IF(A173="","",125)</f>
        <v/>
      </c>
      <c r="E173">
        <f>IF(OR(Stops!A125="",Stops!E125="",Stops!F125=""),"",ROUND((Stops!F125-Stops!E125)*1440,0))</f>
        <v/>
      </c>
    </row>
    <row r="174">
      <c r="A174">
        <f>IF(Stops!A126="","",Stops!A126)</f>
        <v/>
      </c>
      <c r="B174">
        <f>IF(E174="","",IF(E174&lt;=0,"het einde ligt voor het begin",IF(E174&lt;60,"venster korter dan een uur","")))</f>
        <v/>
      </c>
      <c r="D174">
        <f>IF(A174="","",126)</f>
        <v/>
      </c>
      <c r="E174">
        <f>IF(OR(Stops!A126="",Stops!E126="",Stops!F126=""),"",ROUND((Stops!F126-Stops!E126)*1440,0))</f>
        <v/>
      </c>
    </row>
    <row r="175">
      <c r="A175">
        <f>IF(Stops!A127="","",Stops!A127)</f>
        <v/>
      </c>
      <c r="B175">
        <f>IF(E175="","",IF(E175&lt;=0,"het einde ligt voor het begin",IF(E175&lt;60,"venster korter dan een uur","")))</f>
        <v/>
      </c>
      <c r="D175">
        <f>IF(A175="","",127)</f>
        <v/>
      </c>
      <c r="E175">
        <f>IF(OR(Stops!A127="",Stops!E127="",Stops!F127=""),"",ROUND((Stops!F127-Stops!E127)*1440,0))</f>
        <v/>
      </c>
    </row>
    <row r="176">
      <c r="A176">
        <f>IF(Stops!A128="","",Stops!A128)</f>
        <v/>
      </c>
      <c r="B176">
        <f>IF(E176="","",IF(E176&lt;=0,"het einde ligt voor het begin",IF(E176&lt;60,"venster korter dan een uur","")))</f>
        <v/>
      </c>
      <c r="D176">
        <f>IF(A176="","",128)</f>
        <v/>
      </c>
      <c r="E176">
        <f>IF(OR(Stops!A128="",Stops!E128="",Stops!F128=""),"",ROUND((Stops!F128-Stops!E128)*1440,0))</f>
        <v/>
      </c>
    </row>
    <row r="177">
      <c r="A177">
        <f>IF(Stops!A129="","",Stops!A129)</f>
        <v/>
      </c>
      <c r="B177">
        <f>IF(E177="","",IF(E177&lt;=0,"het einde ligt voor het begin",IF(E177&lt;60,"venster korter dan een uur","")))</f>
        <v/>
      </c>
      <c r="D177">
        <f>IF(A177="","",129)</f>
        <v/>
      </c>
      <c r="E177">
        <f>IF(OR(Stops!A129="",Stops!E129="",Stops!F129=""),"",ROUND((Stops!F129-Stops!E129)*1440,0))</f>
        <v/>
      </c>
    </row>
    <row r="178">
      <c r="A178">
        <f>IF(Stops!A130="","",Stops!A130)</f>
        <v/>
      </c>
      <c r="B178">
        <f>IF(E178="","",IF(E178&lt;=0,"het einde ligt voor het begin",IF(E178&lt;60,"venster korter dan een uur","")))</f>
        <v/>
      </c>
      <c r="D178">
        <f>IF(A178="","",130)</f>
        <v/>
      </c>
      <c r="E178">
        <f>IF(OR(Stops!A130="",Stops!E130="",Stops!F130=""),"",ROUND((Stops!F130-Stops!E130)*1440,0))</f>
        <v/>
      </c>
    </row>
    <row r="179">
      <c r="A179">
        <f>IF(Stops!A131="","",Stops!A131)</f>
        <v/>
      </c>
      <c r="B179">
        <f>IF(E179="","",IF(E179&lt;=0,"het einde ligt voor het begin",IF(E179&lt;60,"venster korter dan een uur","")))</f>
        <v/>
      </c>
      <c r="D179">
        <f>IF(A179="","",131)</f>
        <v/>
      </c>
      <c r="E179">
        <f>IF(OR(Stops!A131="",Stops!E131="",Stops!F131=""),"",ROUND((Stops!F131-Stops!E131)*1440,0))</f>
        <v/>
      </c>
    </row>
    <row r="180">
      <c r="A180">
        <f>IF(Stops!A132="","",Stops!A132)</f>
        <v/>
      </c>
      <c r="B180">
        <f>IF(E180="","",IF(E180&lt;=0,"het einde ligt voor het begin",IF(E180&lt;60,"venster korter dan een uur","")))</f>
        <v/>
      </c>
      <c r="D180">
        <f>IF(A180="","",132)</f>
        <v/>
      </c>
      <c r="E180">
        <f>IF(OR(Stops!A132="",Stops!E132="",Stops!F132=""),"",ROUND((Stops!F132-Stops!E132)*1440,0))</f>
        <v/>
      </c>
    </row>
    <row r="181">
      <c r="A181">
        <f>IF(Stops!A133="","",Stops!A133)</f>
        <v/>
      </c>
      <c r="B181">
        <f>IF(E181="","",IF(E181&lt;=0,"het einde ligt voor het begin",IF(E181&lt;60,"venster korter dan een uur","")))</f>
        <v/>
      </c>
      <c r="D181">
        <f>IF(A181="","",133)</f>
        <v/>
      </c>
      <c r="E181">
        <f>IF(OR(Stops!A133="",Stops!E133="",Stops!F133=""),"",ROUND((Stops!F133-Stops!E133)*1440,0))</f>
        <v/>
      </c>
    </row>
    <row r="182">
      <c r="A182">
        <f>IF(Stops!A134="","",Stops!A134)</f>
        <v/>
      </c>
      <c r="B182">
        <f>IF(E182="","",IF(E182&lt;=0,"het einde ligt voor het begin",IF(E182&lt;60,"venster korter dan een uur","")))</f>
        <v/>
      </c>
      <c r="D182">
        <f>IF(A182="","",134)</f>
        <v/>
      </c>
      <c r="E182">
        <f>IF(OR(Stops!A134="",Stops!E134="",Stops!F134=""),"",ROUND((Stops!F134-Stops!E134)*1440,0))</f>
        <v/>
      </c>
    </row>
    <row r="183">
      <c r="A183">
        <f>IF(Stops!A135="","",Stops!A135)</f>
        <v/>
      </c>
      <c r="B183">
        <f>IF(E183="","",IF(E183&lt;=0,"het einde ligt voor het begin",IF(E183&lt;60,"venster korter dan een uur","")))</f>
        <v/>
      </c>
      <c r="D183">
        <f>IF(A183="","",135)</f>
        <v/>
      </c>
      <c r="E183">
        <f>IF(OR(Stops!A135="",Stops!E135="",Stops!F135=""),"",ROUND((Stops!F135-Stops!E135)*1440,0))</f>
        <v/>
      </c>
    </row>
    <row r="184">
      <c r="A184">
        <f>IF(Stops!A136="","",Stops!A136)</f>
        <v/>
      </c>
      <c r="B184">
        <f>IF(E184="","",IF(E184&lt;=0,"het einde ligt voor het begin",IF(E184&lt;60,"venster korter dan een uur","")))</f>
        <v/>
      </c>
      <c r="D184">
        <f>IF(A184="","",136)</f>
        <v/>
      </c>
      <c r="E184">
        <f>IF(OR(Stops!A136="",Stops!E136="",Stops!F136=""),"",ROUND((Stops!F136-Stops!E136)*1440,0))</f>
        <v/>
      </c>
    </row>
    <row r="185">
      <c r="A185">
        <f>IF(Stops!A137="","",Stops!A137)</f>
        <v/>
      </c>
      <c r="B185">
        <f>IF(E185="","",IF(E185&lt;=0,"het einde ligt voor het begin",IF(E185&lt;60,"venster korter dan een uur","")))</f>
        <v/>
      </c>
      <c r="D185">
        <f>IF(A185="","",137)</f>
        <v/>
      </c>
      <c r="E185">
        <f>IF(OR(Stops!A137="",Stops!E137="",Stops!F137=""),"",ROUND((Stops!F137-Stops!E137)*1440,0))</f>
        <v/>
      </c>
    </row>
    <row r="186">
      <c r="A186">
        <f>IF(Stops!A138="","",Stops!A138)</f>
        <v/>
      </c>
      <c r="B186">
        <f>IF(E186="","",IF(E186&lt;=0,"het einde ligt voor het begin",IF(E186&lt;60,"venster korter dan een uur","")))</f>
        <v/>
      </c>
      <c r="D186">
        <f>IF(A186="","",138)</f>
        <v/>
      </c>
      <c r="E186">
        <f>IF(OR(Stops!A138="",Stops!E138="",Stops!F138=""),"",ROUND((Stops!F138-Stops!E138)*1440,0))</f>
        <v/>
      </c>
    </row>
    <row r="187">
      <c r="A187">
        <f>IF(Stops!A139="","",Stops!A139)</f>
        <v/>
      </c>
      <c r="B187">
        <f>IF(E187="","",IF(E187&lt;=0,"het einde ligt voor het begin",IF(E187&lt;60,"venster korter dan een uur","")))</f>
        <v/>
      </c>
      <c r="D187">
        <f>IF(A187="","",139)</f>
        <v/>
      </c>
      <c r="E187">
        <f>IF(OR(Stops!A139="",Stops!E139="",Stops!F139=""),"",ROUND((Stops!F139-Stops!E139)*1440,0))</f>
        <v/>
      </c>
    </row>
    <row r="188">
      <c r="A188">
        <f>IF(Stops!A140="","",Stops!A140)</f>
        <v/>
      </c>
      <c r="B188">
        <f>IF(E188="","",IF(E188&lt;=0,"het einde ligt voor het begin",IF(E188&lt;60,"venster korter dan een uur","")))</f>
        <v/>
      </c>
      <c r="D188">
        <f>IF(A188="","",140)</f>
        <v/>
      </c>
      <c r="E188">
        <f>IF(OR(Stops!A140="",Stops!E140="",Stops!F140=""),"",ROUND((Stops!F140-Stops!E140)*1440,0))</f>
        <v/>
      </c>
    </row>
    <row r="189">
      <c r="A189">
        <f>IF(Stops!A141="","",Stops!A141)</f>
        <v/>
      </c>
      <c r="B189">
        <f>IF(E189="","",IF(E189&lt;=0,"het einde ligt voor het begin",IF(E189&lt;60,"venster korter dan een uur","")))</f>
        <v/>
      </c>
      <c r="D189">
        <f>IF(A189="","",141)</f>
        <v/>
      </c>
      <c r="E189">
        <f>IF(OR(Stops!A141="",Stops!E141="",Stops!F141=""),"",ROUND((Stops!F141-Stops!E141)*1440,0))</f>
        <v/>
      </c>
    </row>
    <row r="190">
      <c r="A190">
        <f>IF(Stops!A142="","",Stops!A142)</f>
        <v/>
      </c>
      <c r="B190">
        <f>IF(E190="","",IF(E190&lt;=0,"het einde ligt voor het begin",IF(E190&lt;60,"venster korter dan een uur","")))</f>
        <v/>
      </c>
      <c r="D190">
        <f>IF(A190="","",142)</f>
        <v/>
      </c>
      <c r="E190">
        <f>IF(OR(Stops!A142="",Stops!E142="",Stops!F142=""),"",ROUND((Stops!F142-Stops!E142)*1440,0))</f>
        <v/>
      </c>
    </row>
    <row r="191">
      <c r="A191">
        <f>IF(Stops!A143="","",Stops!A143)</f>
        <v/>
      </c>
      <c r="B191">
        <f>IF(E191="","",IF(E191&lt;=0,"het einde ligt voor het begin",IF(E191&lt;60,"venster korter dan een uur","")))</f>
        <v/>
      </c>
      <c r="D191">
        <f>IF(A191="","",143)</f>
        <v/>
      </c>
      <c r="E191">
        <f>IF(OR(Stops!A143="",Stops!E143="",Stops!F143=""),"",ROUND((Stops!F143-Stops!E143)*1440,0))</f>
        <v/>
      </c>
    </row>
    <row r="192">
      <c r="A192">
        <f>IF(Stops!A144="","",Stops!A144)</f>
        <v/>
      </c>
      <c r="B192">
        <f>IF(E192="","",IF(E192&lt;=0,"het einde ligt voor het begin",IF(E192&lt;60,"venster korter dan een uur","")))</f>
        <v/>
      </c>
      <c r="D192">
        <f>IF(A192="","",144)</f>
        <v/>
      </c>
      <c r="E192">
        <f>IF(OR(Stops!A144="",Stops!E144="",Stops!F144=""),"",ROUND((Stops!F144-Stops!E144)*1440,0))</f>
        <v/>
      </c>
    </row>
    <row r="193">
      <c r="A193">
        <f>IF(Stops!A145="","",Stops!A145)</f>
        <v/>
      </c>
      <c r="B193">
        <f>IF(E193="","",IF(E193&lt;=0,"het einde ligt voor het begin",IF(E193&lt;60,"venster korter dan een uur","")))</f>
        <v/>
      </c>
      <c r="D193">
        <f>IF(A193="","",145)</f>
        <v/>
      </c>
      <c r="E193">
        <f>IF(OR(Stops!A145="",Stops!E145="",Stops!F145=""),"",ROUND((Stops!F145-Stops!E145)*1440,0))</f>
        <v/>
      </c>
    </row>
    <row r="194">
      <c r="A194">
        <f>IF(Stops!A146="","",Stops!A146)</f>
        <v/>
      </c>
      <c r="B194">
        <f>IF(E194="","",IF(E194&lt;=0,"het einde ligt voor het begin",IF(E194&lt;60,"venster korter dan een uur","")))</f>
        <v/>
      </c>
      <c r="D194">
        <f>IF(A194="","",146)</f>
        <v/>
      </c>
      <c r="E194">
        <f>IF(OR(Stops!A146="",Stops!E146="",Stops!F146=""),"",ROUND((Stops!F146-Stops!E146)*1440,0))</f>
        <v/>
      </c>
    </row>
    <row r="195">
      <c r="A195">
        <f>IF(Stops!A147="","",Stops!A147)</f>
        <v/>
      </c>
      <c r="B195">
        <f>IF(E195="","",IF(E195&lt;=0,"het einde ligt voor het begin",IF(E195&lt;60,"venster korter dan een uur","")))</f>
        <v/>
      </c>
      <c r="D195">
        <f>IF(A195="","",147)</f>
        <v/>
      </c>
      <c r="E195">
        <f>IF(OR(Stops!A147="",Stops!E147="",Stops!F147=""),"",ROUND((Stops!F147-Stops!E147)*1440,0))</f>
        <v/>
      </c>
    </row>
    <row r="196">
      <c r="A196">
        <f>IF(Stops!A148="","",Stops!A148)</f>
        <v/>
      </c>
      <c r="B196">
        <f>IF(E196="","",IF(E196&lt;=0,"het einde ligt voor het begin",IF(E196&lt;60,"venster korter dan een uur","")))</f>
        <v/>
      </c>
      <c r="D196">
        <f>IF(A196="","",148)</f>
        <v/>
      </c>
      <c r="E196">
        <f>IF(OR(Stops!A148="",Stops!E148="",Stops!F148=""),"",ROUND((Stops!F148-Stops!E148)*1440,0))</f>
        <v/>
      </c>
    </row>
    <row r="197">
      <c r="A197">
        <f>IF(Stops!A149="","",Stops!A149)</f>
        <v/>
      </c>
      <c r="B197">
        <f>IF(E197="","",IF(E197&lt;=0,"het einde ligt voor het begin",IF(E197&lt;60,"venster korter dan een uur","")))</f>
        <v/>
      </c>
      <c r="D197">
        <f>IF(A197="","",149)</f>
        <v/>
      </c>
      <c r="E197">
        <f>IF(OR(Stops!A149="",Stops!E149="",Stops!F149=""),"",ROUND((Stops!F149-Stops!E149)*1440,0))</f>
        <v/>
      </c>
    </row>
    <row r="198">
      <c r="A198">
        <f>IF(Stops!A150="","",Stops!A150)</f>
        <v/>
      </c>
      <c r="B198">
        <f>IF(E198="","",IF(E198&lt;=0,"het einde ligt voor het begin",IF(E198&lt;60,"venster korter dan een uur","")))</f>
        <v/>
      </c>
      <c r="D198">
        <f>IF(A198="","",150)</f>
        <v/>
      </c>
      <c r="E198">
        <f>IF(OR(Stops!A150="",Stops!E150="",Stops!F150=""),"",ROUND((Stops!F150-Stops!E150)*1440,0))</f>
        <v/>
      </c>
    </row>
    <row r="199">
      <c r="A199">
        <f>IF(Stops!A151="","",Stops!A151)</f>
        <v/>
      </c>
      <c r="B199">
        <f>IF(E199="","",IF(E199&lt;=0,"het einde ligt voor het begin",IF(E199&lt;60,"venster korter dan een uur","")))</f>
        <v/>
      </c>
      <c r="D199">
        <f>IF(A199="","",151)</f>
        <v/>
      </c>
      <c r="E199">
        <f>IF(OR(Stops!A151="",Stops!E151="",Stops!F151=""),"",ROUND((Stops!F151-Stops!E151)*1440,0))</f>
        <v/>
      </c>
    </row>
    <row r="200">
      <c r="A200">
        <f>IF(Stops!A152="","",Stops!A152)</f>
        <v/>
      </c>
      <c r="B200">
        <f>IF(E200="","",IF(E200&lt;=0,"het einde ligt voor het begin",IF(E200&lt;60,"venster korter dan een uur","")))</f>
        <v/>
      </c>
      <c r="D200">
        <f>IF(A200="","",152)</f>
        <v/>
      </c>
      <c r="E200">
        <f>IF(OR(Stops!A152="",Stops!E152="",Stops!F152=""),"",ROUND((Stops!F152-Stops!E152)*1440,0))</f>
        <v/>
      </c>
    </row>
    <row r="201">
      <c r="A201">
        <f>IF(Stops!A153="","",Stops!A153)</f>
        <v/>
      </c>
      <c r="B201">
        <f>IF(E201="","",IF(E201&lt;=0,"het einde ligt voor het begin",IF(E201&lt;60,"venster korter dan een uur","")))</f>
        <v/>
      </c>
      <c r="D201">
        <f>IF(A201="","",153)</f>
        <v/>
      </c>
      <c r="E201">
        <f>IF(OR(Stops!A153="",Stops!E153="",Stops!F153=""),"",ROUND((Stops!F153-Stops!E153)*1440,0))</f>
        <v/>
      </c>
    </row>
    <row r="202">
      <c r="A202">
        <f>IF(Stops!A154="","",Stops!A154)</f>
        <v/>
      </c>
      <c r="B202">
        <f>IF(E202="","",IF(E202&lt;=0,"het einde ligt voor het begin",IF(E202&lt;60,"venster korter dan een uur","")))</f>
        <v/>
      </c>
      <c r="D202">
        <f>IF(A202="","",154)</f>
        <v/>
      </c>
      <c r="E202">
        <f>IF(OR(Stops!A154="",Stops!E154="",Stops!F154=""),"",ROUND((Stops!F154-Stops!E154)*1440,0))</f>
        <v/>
      </c>
    </row>
    <row r="203">
      <c r="A203">
        <f>IF(Stops!A155="","",Stops!A155)</f>
        <v/>
      </c>
      <c r="B203">
        <f>IF(E203="","",IF(E203&lt;=0,"het einde ligt voor het begin",IF(E203&lt;60,"venster korter dan een uur","")))</f>
        <v/>
      </c>
      <c r="D203">
        <f>IF(A203="","",155)</f>
        <v/>
      </c>
      <c r="E203">
        <f>IF(OR(Stops!A155="",Stops!E155="",Stops!F155=""),"",ROUND((Stops!F155-Stops!E155)*1440,0))</f>
        <v/>
      </c>
    </row>
    <row r="204">
      <c r="A204">
        <f>IF(Stops!A156="","",Stops!A156)</f>
        <v/>
      </c>
      <c r="B204">
        <f>IF(E204="","",IF(E204&lt;=0,"het einde ligt voor het begin",IF(E204&lt;60,"venster korter dan een uur","")))</f>
        <v/>
      </c>
      <c r="D204">
        <f>IF(A204="","",156)</f>
        <v/>
      </c>
      <c r="E204">
        <f>IF(OR(Stops!A156="",Stops!E156="",Stops!F156=""),"",ROUND((Stops!F156-Stops!E156)*1440,0))</f>
        <v/>
      </c>
    </row>
    <row r="205">
      <c r="A205">
        <f>IF(Stops!A157="","",Stops!A157)</f>
        <v/>
      </c>
      <c r="B205">
        <f>IF(E205="","",IF(E205&lt;=0,"het einde ligt voor het begin",IF(E205&lt;60,"venster korter dan een uur","")))</f>
        <v/>
      </c>
      <c r="D205">
        <f>IF(A205="","",157)</f>
        <v/>
      </c>
      <c r="E205">
        <f>IF(OR(Stops!A157="",Stops!E157="",Stops!F157=""),"",ROUND((Stops!F157-Stops!E157)*1440,0))</f>
        <v/>
      </c>
    </row>
    <row r="206">
      <c r="A206">
        <f>IF(Stops!A158="","",Stops!A158)</f>
        <v/>
      </c>
      <c r="B206">
        <f>IF(E206="","",IF(E206&lt;=0,"het einde ligt voor het begin",IF(E206&lt;60,"venster korter dan een uur","")))</f>
        <v/>
      </c>
      <c r="D206">
        <f>IF(A206="","",158)</f>
        <v/>
      </c>
      <c r="E206">
        <f>IF(OR(Stops!A158="",Stops!E158="",Stops!F158=""),"",ROUND((Stops!F158-Stops!E158)*1440,0))</f>
        <v/>
      </c>
    </row>
    <row r="207">
      <c r="A207">
        <f>IF(Stops!A159="","",Stops!A159)</f>
        <v/>
      </c>
      <c r="B207">
        <f>IF(E207="","",IF(E207&lt;=0,"het einde ligt voor het begin",IF(E207&lt;60,"venster korter dan een uur","")))</f>
        <v/>
      </c>
      <c r="D207">
        <f>IF(A207="","",159)</f>
        <v/>
      </c>
      <c r="E207">
        <f>IF(OR(Stops!A159="",Stops!E159="",Stops!F159=""),"",ROUND((Stops!F159-Stops!E159)*1440,0))</f>
        <v/>
      </c>
    </row>
    <row r="208">
      <c r="A208">
        <f>IF(Stops!A160="","",Stops!A160)</f>
        <v/>
      </c>
      <c r="B208">
        <f>IF(E208="","",IF(E208&lt;=0,"het einde ligt voor het begin",IF(E208&lt;60,"venster korter dan een uur","")))</f>
        <v/>
      </c>
      <c r="D208">
        <f>IF(A208="","",160)</f>
        <v/>
      </c>
      <c r="E208">
        <f>IF(OR(Stops!A160="",Stops!E160="",Stops!F160=""),"",ROUND((Stops!F160-Stops!E160)*1440,0))</f>
        <v/>
      </c>
    </row>
    <row r="209">
      <c r="A209">
        <f>IF(Stops!A161="","",Stops!A161)</f>
        <v/>
      </c>
      <c r="B209">
        <f>IF(E209="","",IF(E209&lt;=0,"het einde ligt voor het begin",IF(E209&lt;60,"venster korter dan een uur","")))</f>
        <v/>
      </c>
      <c r="D209">
        <f>IF(A209="","",161)</f>
        <v/>
      </c>
      <c r="E209">
        <f>IF(OR(Stops!A161="",Stops!E161="",Stops!F161=""),"",ROUND((Stops!F161-Stops!E161)*1440,0))</f>
        <v/>
      </c>
    </row>
    <row r="210">
      <c r="A210">
        <f>IF(Stops!A162="","",Stops!A162)</f>
        <v/>
      </c>
      <c r="B210">
        <f>IF(E210="","",IF(E210&lt;=0,"het einde ligt voor het begin",IF(E210&lt;60,"venster korter dan een uur","")))</f>
        <v/>
      </c>
      <c r="D210">
        <f>IF(A210="","",162)</f>
        <v/>
      </c>
      <c r="E210">
        <f>IF(OR(Stops!A162="",Stops!E162="",Stops!F162=""),"",ROUND((Stops!F162-Stops!E162)*1440,0))</f>
        <v/>
      </c>
    </row>
    <row r="211">
      <c r="A211">
        <f>IF(Stops!A163="","",Stops!A163)</f>
        <v/>
      </c>
      <c r="B211">
        <f>IF(E211="","",IF(E211&lt;=0,"het einde ligt voor het begin",IF(E211&lt;60,"venster korter dan een uur","")))</f>
        <v/>
      </c>
      <c r="D211">
        <f>IF(A211="","",163)</f>
        <v/>
      </c>
      <c r="E211">
        <f>IF(OR(Stops!A163="",Stops!E163="",Stops!F163=""),"",ROUND((Stops!F163-Stops!E163)*1440,0))</f>
        <v/>
      </c>
    </row>
    <row r="212">
      <c r="A212">
        <f>IF(Stops!A164="","",Stops!A164)</f>
        <v/>
      </c>
      <c r="B212">
        <f>IF(E212="","",IF(E212&lt;=0,"het einde ligt voor het begin",IF(E212&lt;60,"venster korter dan een uur","")))</f>
        <v/>
      </c>
      <c r="D212">
        <f>IF(A212="","",164)</f>
        <v/>
      </c>
      <c r="E212">
        <f>IF(OR(Stops!A164="",Stops!E164="",Stops!F164=""),"",ROUND((Stops!F164-Stops!E164)*1440,0))</f>
        <v/>
      </c>
    </row>
    <row r="213">
      <c r="A213">
        <f>IF(Stops!A165="","",Stops!A165)</f>
        <v/>
      </c>
      <c r="B213">
        <f>IF(E213="","",IF(E213&lt;=0,"het einde ligt voor het begin",IF(E213&lt;60,"venster korter dan een uur","")))</f>
        <v/>
      </c>
      <c r="D213">
        <f>IF(A213="","",165)</f>
        <v/>
      </c>
      <c r="E213">
        <f>IF(OR(Stops!A165="",Stops!E165="",Stops!F165=""),"",ROUND((Stops!F165-Stops!E165)*1440,0))</f>
        <v/>
      </c>
    </row>
    <row r="214">
      <c r="A214">
        <f>IF(Stops!A166="","",Stops!A166)</f>
        <v/>
      </c>
      <c r="B214">
        <f>IF(E214="","",IF(E214&lt;=0,"het einde ligt voor het begin",IF(E214&lt;60,"venster korter dan een uur","")))</f>
        <v/>
      </c>
      <c r="D214">
        <f>IF(A214="","",166)</f>
        <v/>
      </c>
      <c r="E214">
        <f>IF(OR(Stops!A166="",Stops!E166="",Stops!F166=""),"",ROUND((Stops!F166-Stops!E166)*1440,0))</f>
        <v/>
      </c>
    </row>
    <row r="215">
      <c r="A215">
        <f>IF(Stops!A167="","",Stops!A167)</f>
        <v/>
      </c>
      <c r="B215">
        <f>IF(E215="","",IF(E215&lt;=0,"het einde ligt voor het begin",IF(E215&lt;60,"venster korter dan een uur","")))</f>
        <v/>
      </c>
      <c r="D215">
        <f>IF(A215="","",167)</f>
        <v/>
      </c>
      <c r="E215">
        <f>IF(OR(Stops!A167="",Stops!E167="",Stops!F167=""),"",ROUND((Stops!F167-Stops!E167)*1440,0))</f>
        <v/>
      </c>
    </row>
    <row r="216">
      <c r="A216">
        <f>IF(Stops!A168="","",Stops!A168)</f>
        <v/>
      </c>
      <c r="B216">
        <f>IF(E216="","",IF(E216&lt;=0,"het einde ligt voor het begin",IF(E216&lt;60,"venster korter dan een uur","")))</f>
        <v/>
      </c>
      <c r="D216">
        <f>IF(A216="","",168)</f>
        <v/>
      </c>
      <c r="E216">
        <f>IF(OR(Stops!A168="",Stops!E168="",Stops!F168=""),"",ROUND((Stops!F168-Stops!E168)*1440,0))</f>
        <v/>
      </c>
    </row>
    <row r="217">
      <c r="A217">
        <f>IF(Stops!A169="","",Stops!A169)</f>
        <v/>
      </c>
      <c r="B217">
        <f>IF(E217="","",IF(E217&lt;=0,"het einde ligt voor het begin",IF(E217&lt;60,"venster korter dan een uur","")))</f>
        <v/>
      </c>
      <c r="D217">
        <f>IF(A217="","",169)</f>
        <v/>
      </c>
      <c r="E217">
        <f>IF(OR(Stops!A169="",Stops!E169="",Stops!F169=""),"",ROUND((Stops!F169-Stops!E169)*1440,0))</f>
        <v/>
      </c>
    </row>
    <row r="218">
      <c r="A218">
        <f>IF(Stops!A170="","",Stops!A170)</f>
        <v/>
      </c>
      <c r="B218">
        <f>IF(E218="","",IF(E218&lt;=0,"het einde ligt voor het begin",IF(E218&lt;60,"venster korter dan een uur","")))</f>
        <v/>
      </c>
      <c r="D218">
        <f>IF(A218="","",170)</f>
        <v/>
      </c>
      <c r="E218">
        <f>IF(OR(Stops!A170="",Stops!E170="",Stops!F170=""),"",ROUND((Stops!F170-Stops!E170)*1440,0))</f>
        <v/>
      </c>
    </row>
    <row r="219">
      <c r="A219">
        <f>IF(Stops!A171="","",Stops!A171)</f>
        <v/>
      </c>
      <c r="B219">
        <f>IF(E219="","",IF(E219&lt;=0,"het einde ligt voor het begin",IF(E219&lt;60,"venster korter dan een uur","")))</f>
        <v/>
      </c>
      <c r="D219">
        <f>IF(A219="","",171)</f>
        <v/>
      </c>
      <c r="E219">
        <f>IF(OR(Stops!A171="",Stops!E171="",Stops!F171=""),"",ROUND((Stops!F171-Stops!E171)*1440,0))</f>
        <v/>
      </c>
    </row>
    <row r="220">
      <c r="A220">
        <f>IF(Stops!A172="","",Stops!A172)</f>
        <v/>
      </c>
      <c r="B220">
        <f>IF(E220="","",IF(E220&lt;=0,"het einde ligt voor het begin",IF(E220&lt;60,"venster korter dan een uur","")))</f>
        <v/>
      </c>
      <c r="D220">
        <f>IF(A220="","",172)</f>
        <v/>
      </c>
      <c r="E220">
        <f>IF(OR(Stops!A172="",Stops!E172="",Stops!F172=""),"",ROUND((Stops!F172-Stops!E172)*1440,0))</f>
        <v/>
      </c>
    </row>
    <row r="221">
      <c r="A221">
        <f>IF(Stops!A173="","",Stops!A173)</f>
        <v/>
      </c>
      <c r="B221">
        <f>IF(E221="","",IF(E221&lt;=0,"het einde ligt voor het begin",IF(E221&lt;60,"venster korter dan een uur","")))</f>
        <v/>
      </c>
      <c r="D221">
        <f>IF(A221="","",173)</f>
        <v/>
      </c>
      <c r="E221">
        <f>IF(OR(Stops!A173="",Stops!E173="",Stops!F173=""),"",ROUND((Stops!F173-Stops!E173)*1440,0))</f>
        <v/>
      </c>
    </row>
    <row r="222">
      <c r="A222">
        <f>IF(Stops!A174="","",Stops!A174)</f>
        <v/>
      </c>
      <c r="B222">
        <f>IF(E222="","",IF(E222&lt;=0,"het einde ligt voor het begin",IF(E222&lt;60,"venster korter dan een uur","")))</f>
        <v/>
      </c>
      <c r="D222">
        <f>IF(A222="","",174)</f>
        <v/>
      </c>
      <c r="E222">
        <f>IF(OR(Stops!A174="",Stops!E174="",Stops!F174=""),"",ROUND((Stops!F174-Stops!E174)*1440,0))</f>
        <v/>
      </c>
    </row>
    <row r="223">
      <c r="A223">
        <f>IF(Stops!A175="","",Stops!A175)</f>
        <v/>
      </c>
      <c r="B223">
        <f>IF(E223="","",IF(E223&lt;=0,"het einde ligt voor het begin",IF(E223&lt;60,"venster korter dan een uur","")))</f>
        <v/>
      </c>
      <c r="D223">
        <f>IF(A223="","",175)</f>
        <v/>
      </c>
      <c r="E223">
        <f>IF(OR(Stops!A175="",Stops!E175="",Stops!F175=""),"",ROUND((Stops!F175-Stops!E175)*1440,0))</f>
        <v/>
      </c>
    </row>
    <row r="224">
      <c r="A224">
        <f>IF(Stops!A176="","",Stops!A176)</f>
        <v/>
      </c>
      <c r="B224">
        <f>IF(E224="","",IF(E224&lt;=0,"het einde ligt voor het begin",IF(E224&lt;60,"venster korter dan een uur","")))</f>
        <v/>
      </c>
      <c r="D224">
        <f>IF(A224="","",176)</f>
        <v/>
      </c>
      <c r="E224">
        <f>IF(OR(Stops!A176="",Stops!E176="",Stops!F176=""),"",ROUND((Stops!F176-Stops!E176)*1440,0))</f>
        <v/>
      </c>
    </row>
    <row r="225">
      <c r="A225">
        <f>IF(Stops!A177="","",Stops!A177)</f>
        <v/>
      </c>
      <c r="B225">
        <f>IF(E225="","",IF(E225&lt;=0,"het einde ligt voor het begin",IF(E225&lt;60,"venster korter dan een uur","")))</f>
        <v/>
      </c>
      <c r="D225">
        <f>IF(A225="","",177)</f>
        <v/>
      </c>
      <c r="E225">
        <f>IF(OR(Stops!A177="",Stops!E177="",Stops!F177=""),"",ROUND((Stops!F177-Stops!E177)*1440,0))</f>
        <v/>
      </c>
    </row>
    <row r="226">
      <c r="A226">
        <f>IF(Stops!A178="","",Stops!A178)</f>
        <v/>
      </c>
      <c r="B226">
        <f>IF(E226="","",IF(E226&lt;=0,"het einde ligt voor het begin",IF(E226&lt;60,"venster korter dan een uur","")))</f>
        <v/>
      </c>
      <c r="D226">
        <f>IF(A226="","",178)</f>
        <v/>
      </c>
      <c r="E226">
        <f>IF(OR(Stops!A178="",Stops!E178="",Stops!F178=""),"",ROUND((Stops!F178-Stops!E178)*1440,0))</f>
        <v/>
      </c>
    </row>
    <row r="227">
      <c r="A227">
        <f>IF(Stops!A179="","",Stops!A179)</f>
        <v/>
      </c>
      <c r="B227">
        <f>IF(E227="","",IF(E227&lt;=0,"het einde ligt voor het begin",IF(E227&lt;60,"venster korter dan een uur","")))</f>
        <v/>
      </c>
      <c r="D227">
        <f>IF(A227="","",179)</f>
        <v/>
      </c>
      <c r="E227">
        <f>IF(OR(Stops!A179="",Stops!E179="",Stops!F179=""),"",ROUND((Stops!F179-Stops!E179)*1440,0))</f>
        <v/>
      </c>
    </row>
    <row r="228">
      <c r="A228">
        <f>IF(Stops!A180="","",Stops!A180)</f>
        <v/>
      </c>
      <c r="B228">
        <f>IF(E228="","",IF(E228&lt;=0,"het einde ligt voor het begin",IF(E228&lt;60,"venster korter dan een uur","")))</f>
        <v/>
      </c>
      <c r="D228">
        <f>IF(A228="","",180)</f>
        <v/>
      </c>
      <c r="E228">
        <f>IF(OR(Stops!A180="",Stops!E180="",Stops!F180=""),"",ROUND((Stops!F180-Stops!E180)*1440,0))</f>
        <v/>
      </c>
    </row>
    <row r="229">
      <c r="A229">
        <f>IF(Stops!A181="","",Stops!A181)</f>
        <v/>
      </c>
      <c r="B229">
        <f>IF(E229="","",IF(E229&lt;=0,"het einde ligt voor het begin",IF(E229&lt;60,"venster korter dan een uur","")))</f>
        <v/>
      </c>
      <c r="D229">
        <f>IF(A229="","",181)</f>
        <v/>
      </c>
      <c r="E229">
        <f>IF(OR(Stops!A181="",Stops!E181="",Stops!F181=""),"",ROUND((Stops!F181-Stops!E181)*1440,0))</f>
        <v/>
      </c>
    </row>
    <row r="230">
      <c r="A230">
        <f>IF(Stops!A182="","",Stops!A182)</f>
        <v/>
      </c>
      <c r="B230">
        <f>IF(E230="","",IF(E230&lt;=0,"het einde ligt voor het begin",IF(E230&lt;60,"venster korter dan een uur","")))</f>
        <v/>
      </c>
      <c r="D230">
        <f>IF(A230="","",182)</f>
        <v/>
      </c>
      <c r="E230">
        <f>IF(OR(Stops!A182="",Stops!E182="",Stops!F182=""),"",ROUND((Stops!F182-Stops!E182)*1440,0))</f>
        <v/>
      </c>
    </row>
    <row r="231">
      <c r="A231">
        <f>IF(Stops!A183="","",Stops!A183)</f>
        <v/>
      </c>
      <c r="B231">
        <f>IF(E231="","",IF(E231&lt;=0,"het einde ligt voor het begin",IF(E231&lt;60,"venster korter dan een uur","")))</f>
        <v/>
      </c>
      <c r="D231">
        <f>IF(A231="","",183)</f>
        <v/>
      </c>
      <c r="E231">
        <f>IF(OR(Stops!A183="",Stops!E183="",Stops!F183=""),"",ROUND((Stops!F183-Stops!E183)*1440,0))</f>
        <v/>
      </c>
    </row>
    <row r="232">
      <c r="A232">
        <f>IF(Stops!A184="","",Stops!A184)</f>
        <v/>
      </c>
      <c r="B232">
        <f>IF(E232="","",IF(E232&lt;=0,"het einde ligt voor het begin",IF(E232&lt;60,"venster korter dan een uur","")))</f>
        <v/>
      </c>
      <c r="D232">
        <f>IF(A232="","",184)</f>
        <v/>
      </c>
      <c r="E232">
        <f>IF(OR(Stops!A184="",Stops!E184="",Stops!F184=""),"",ROUND((Stops!F184-Stops!E184)*1440,0))</f>
        <v/>
      </c>
    </row>
    <row r="233">
      <c r="A233">
        <f>IF(Stops!A185="","",Stops!A185)</f>
        <v/>
      </c>
      <c r="B233">
        <f>IF(E233="","",IF(E233&lt;=0,"het einde ligt voor het begin",IF(E233&lt;60,"venster korter dan een uur","")))</f>
        <v/>
      </c>
      <c r="D233">
        <f>IF(A233="","",185)</f>
        <v/>
      </c>
      <c r="E233">
        <f>IF(OR(Stops!A185="",Stops!E185="",Stops!F185=""),"",ROUND((Stops!F185-Stops!E185)*1440,0))</f>
        <v/>
      </c>
    </row>
    <row r="234">
      <c r="A234">
        <f>IF(Stops!A186="","",Stops!A186)</f>
        <v/>
      </c>
      <c r="B234">
        <f>IF(E234="","",IF(E234&lt;=0,"het einde ligt voor het begin",IF(E234&lt;60,"venster korter dan een uur","")))</f>
        <v/>
      </c>
      <c r="D234">
        <f>IF(A234="","",186)</f>
        <v/>
      </c>
      <c r="E234">
        <f>IF(OR(Stops!A186="",Stops!E186="",Stops!F186=""),"",ROUND((Stops!F186-Stops!E186)*1440,0))</f>
        <v/>
      </c>
    </row>
    <row r="235">
      <c r="A235">
        <f>IF(Stops!A187="","",Stops!A187)</f>
        <v/>
      </c>
      <c r="B235">
        <f>IF(E235="","",IF(E235&lt;=0,"het einde ligt voor het begin",IF(E235&lt;60,"venster korter dan een uur","")))</f>
        <v/>
      </c>
      <c r="D235">
        <f>IF(A235="","",187)</f>
        <v/>
      </c>
      <c r="E235">
        <f>IF(OR(Stops!A187="",Stops!E187="",Stops!F187=""),"",ROUND((Stops!F187-Stops!E187)*1440,0))</f>
        <v/>
      </c>
    </row>
    <row r="236">
      <c r="A236">
        <f>IF(Stops!A188="","",Stops!A188)</f>
        <v/>
      </c>
      <c r="B236">
        <f>IF(E236="","",IF(E236&lt;=0,"het einde ligt voor het begin",IF(E236&lt;60,"venster korter dan een uur","")))</f>
        <v/>
      </c>
      <c r="D236">
        <f>IF(A236="","",188)</f>
        <v/>
      </c>
      <c r="E236">
        <f>IF(OR(Stops!A188="",Stops!E188="",Stops!F188=""),"",ROUND((Stops!F188-Stops!E188)*1440,0))</f>
        <v/>
      </c>
    </row>
    <row r="237">
      <c r="A237">
        <f>IF(Stops!A189="","",Stops!A189)</f>
        <v/>
      </c>
      <c r="B237">
        <f>IF(E237="","",IF(E237&lt;=0,"het einde ligt voor het begin",IF(E237&lt;60,"venster korter dan een uur","")))</f>
        <v/>
      </c>
      <c r="D237">
        <f>IF(A237="","",189)</f>
        <v/>
      </c>
      <c r="E237">
        <f>IF(OR(Stops!A189="",Stops!E189="",Stops!F189=""),"",ROUND((Stops!F189-Stops!E189)*1440,0))</f>
        <v/>
      </c>
    </row>
    <row r="238">
      <c r="A238">
        <f>IF(Stops!A190="","",Stops!A190)</f>
        <v/>
      </c>
      <c r="B238">
        <f>IF(E238="","",IF(E238&lt;=0,"het einde ligt voor het begin",IF(E238&lt;60,"venster korter dan een uur","")))</f>
        <v/>
      </c>
      <c r="D238">
        <f>IF(A238="","",190)</f>
        <v/>
      </c>
      <c r="E238">
        <f>IF(OR(Stops!A190="",Stops!E190="",Stops!F190=""),"",ROUND((Stops!F190-Stops!E190)*1440,0))</f>
        <v/>
      </c>
    </row>
    <row r="239">
      <c r="A239">
        <f>IF(Stops!A191="","",Stops!A191)</f>
        <v/>
      </c>
      <c r="B239">
        <f>IF(E239="","",IF(E239&lt;=0,"het einde ligt voor het begin",IF(E239&lt;60,"venster korter dan een uur","")))</f>
        <v/>
      </c>
      <c r="D239">
        <f>IF(A239="","",191)</f>
        <v/>
      </c>
      <c r="E239">
        <f>IF(OR(Stops!A191="",Stops!E191="",Stops!F191=""),"",ROUND((Stops!F191-Stops!E191)*1440,0))</f>
        <v/>
      </c>
    </row>
    <row r="240">
      <c r="A240">
        <f>IF(Stops!A192="","",Stops!A192)</f>
        <v/>
      </c>
      <c r="B240">
        <f>IF(E240="","",IF(E240&lt;=0,"het einde ligt voor het begin",IF(E240&lt;60,"venster korter dan een uur","")))</f>
        <v/>
      </c>
      <c r="D240">
        <f>IF(A240="","",192)</f>
        <v/>
      </c>
      <c r="E240">
        <f>IF(OR(Stops!A192="",Stops!E192="",Stops!F192=""),"",ROUND((Stops!F192-Stops!E192)*1440,0))</f>
        <v/>
      </c>
    </row>
    <row r="241">
      <c r="A241">
        <f>IF(Stops!A193="","",Stops!A193)</f>
        <v/>
      </c>
      <c r="B241">
        <f>IF(E241="","",IF(E241&lt;=0,"het einde ligt voor het begin",IF(E241&lt;60,"venster korter dan een uur","")))</f>
        <v/>
      </c>
      <c r="D241">
        <f>IF(A241="","",193)</f>
        <v/>
      </c>
      <c r="E241">
        <f>IF(OR(Stops!A193="",Stops!E193="",Stops!F193=""),"",ROUND((Stops!F193-Stops!E193)*1440,0))</f>
        <v/>
      </c>
    </row>
    <row r="242">
      <c r="A242">
        <f>IF(Stops!A194="","",Stops!A194)</f>
        <v/>
      </c>
      <c r="B242">
        <f>IF(E242="","",IF(E242&lt;=0,"het einde ligt voor het begin",IF(E242&lt;60,"venster korter dan een uur","")))</f>
        <v/>
      </c>
      <c r="D242">
        <f>IF(A242="","",194)</f>
        <v/>
      </c>
      <c r="E242">
        <f>IF(OR(Stops!A194="",Stops!E194="",Stops!F194=""),"",ROUND((Stops!F194-Stops!E194)*1440,0))</f>
        <v/>
      </c>
    </row>
    <row r="243">
      <c r="A243">
        <f>IF(Stops!A195="","",Stops!A195)</f>
        <v/>
      </c>
      <c r="B243">
        <f>IF(E243="","",IF(E243&lt;=0,"het einde ligt voor het begin",IF(E243&lt;60,"venster korter dan een uur","")))</f>
        <v/>
      </c>
      <c r="D243">
        <f>IF(A243="","",195)</f>
        <v/>
      </c>
      <c r="E243">
        <f>IF(OR(Stops!A195="",Stops!E195="",Stops!F195=""),"",ROUND((Stops!F195-Stops!E195)*1440,0))</f>
        <v/>
      </c>
    </row>
    <row r="244">
      <c r="A244">
        <f>IF(Stops!A196="","",Stops!A196)</f>
        <v/>
      </c>
      <c r="B244">
        <f>IF(E244="","",IF(E244&lt;=0,"het einde ligt voor het begin",IF(E244&lt;60,"venster korter dan een uur","")))</f>
        <v/>
      </c>
      <c r="D244">
        <f>IF(A244="","",196)</f>
        <v/>
      </c>
      <c r="E244">
        <f>IF(OR(Stops!A196="",Stops!E196="",Stops!F196=""),"",ROUND((Stops!F196-Stops!E196)*1440,0))</f>
        <v/>
      </c>
    </row>
    <row r="245">
      <c r="A245">
        <f>IF(Stops!A197="","",Stops!A197)</f>
        <v/>
      </c>
      <c r="B245">
        <f>IF(E245="","",IF(E245&lt;=0,"het einde ligt voor het begin",IF(E245&lt;60,"venster korter dan een uur","")))</f>
        <v/>
      </c>
      <c r="D245">
        <f>IF(A245="","",197)</f>
        <v/>
      </c>
      <c r="E245">
        <f>IF(OR(Stops!A197="",Stops!E197="",Stops!F197=""),"",ROUND((Stops!F197-Stops!E197)*1440,0))</f>
        <v/>
      </c>
    </row>
    <row r="246">
      <c r="A246">
        <f>IF(Stops!A198="","",Stops!A198)</f>
        <v/>
      </c>
      <c r="B246">
        <f>IF(E246="","",IF(E246&lt;=0,"het einde ligt voor het begin",IF(E246&lt;60,"venster korter dan een uur","")))</f>
        <v/>
      </c>
      <c r="D246">
        <f>IF(A246="","",198)</f>
        <v/>
      </c>
      <c r="E246">
        <f>IF(OR(Stops!A198="",Stops!E198="",Stops!F198=""),"",ROUND((Stops!F198-Stops!E198)*1440,0))</f>
        <v/>
      </c>
    </row>
    <row r="247">
      <c r="A247">
        <f>IF(Stops!A199="","",Stops!A199)</f>
        <v/>
      </c>
      <c r="B247">
        <f>IF(E247="","",IF(E247&lt;=0,"het einde ligt voor het begin",IF(E247&lt;60,"venster korter dan een uur","")))</f>
        <v/>
      </c>
      <c r="D247">
        <f>IF(A247="","",199)</f>
        <v/>
      </c>
      <c r="E247">
        <f>IF(OR(Stops!A199="",Stops!E199="",Stops!F199=""),"",ROUND((Stops!F199-Stops!E199)*1440,0))</f>
        <v/>
      </c>
    </row>
    <row r="248">
      <c r="A248">
        <f>IF(Stops!A200="","",Stops!A200)</f>
        <v/>
      </c>
      <c r="B248">
        <f>IF(E248="","",IF(E248&lt;=0,"het einde ligt voor het begin",IF(E248&lt;60,"venster korter dan een uur","")))</f>
        <v/>
      </c>
      <c r="D248">
        <f>IF(A248="","",200)</f>
        <v/>
      </c>
      <c r="E248">
        <f>IF(OR(Stops!A200="",Stops!E200="",Stops!F200=""),"",ROUND((Stops!F200-Stops!E200)*1440,0))</f>
        <v/>
      </c>
    </row>
    <row r="249">
      <c r="A249">
        <f>IF(Stops!A201="","",Stops!A201)</f>
        <v/>
      </c>
      <c r="B249">
        <f>IF(E249="","",IF(E249&lt;=0,"het einde ligt voor het begin",IF(E249&lt;60,"venster korter dan een uur","")))</f>
        <v/>
      </c>
      <c r="D249">
        <f>IF(A249="","",201)</f>
        <v/>
      </c>
      <c r="E249">
        <f>IF(OR(Stops!A201="",Stops!E201="",Stops!F201=""),"",ROUND((Stops!F201-Stops!E201)*1440,0))</f>
        <v/>
      </c>
    </row>
    <row r="250">
      <c r="A250">
        <f>IF(Stops!A202="","",Stops!A202)</f>
        <v/>
      </c>
      <c r="B250">
        <f>IF(E250="","",IF(E250&lt;=0,"het einde ligt voor het begin",IF(E250&lt;60,"venster korter dan een uur","")))</f>
        <v/>
      </c>
      <c r="D250">
        <f>IF(A250="","",202)</f>
        <v/>
      </c>
      <c r="E250">
        <f>IF(OR(Stops!A202="",Stops!E202="",Stops!F202=""),"",ROUND((Stops!F202-Stops!E202)*1440,0))</f>
        <v/>
      </c>
    </row>
    <row r="251">
      <c r="A251">
        <f>IF(Stops!A203="","",Stops!A203)</f>
        <v/>
      </c>
      <c r="B251">
        <f>IF(E251="","",IF(E251&lt;=0,"het einde ligt voor het begin",IF(E251&lt;60,"venster korter dan een uur","")))</f>
        <v/>
      </c>
      <c r="D251">
        <f>IF(A251="","",203)</f>
        <v/>
      </c>
      <c r="E251">
        <f>IF(OR(Stops!A203="",Stops!E203="",Stops!F203=""),"",ROUND((Stops!F203-Stops!E203)*1440,0))</f>
        <v/>
      </c>
    </row>
    <row r="252">
      <c r="A252">
        <f>IF(Stops!A204="","",Stops!A204)</f>
        <v/>
      </c>
      <c r="B252">
        <f>IF(E252="","",IF(E252&lt;=0,"het einde ligt voor het begin",IF(E252&lt;60,"venster korter dan een uur","")))</f>
        <v/>
      </c>
      <c r="D252">
        <f>IF(A252="","",204)</f>
        <v/>
      </c>
      <c r="E252">
        <f>IF(OR(Stops!A204="",Stops!E204="",Stops!F204=""),"",ROUND((Stops!F204-Stops!E204)*1440,0))</f>
        <v/>
      </c>
    </row>
    <row r="253">
      <c r="A253">
        <f>IF(Stops!A205="","",Stops!A205)</f>
        <v/>
      </c>
      <c r="B253">
        <f>IF(E253="","",IF(E253&lt;=0,"het einde ligt voor het begin",IF(E253&lt;60,"venster korter dan een uur","")))</f>
        <v/>
      </c>
      <c r="D253">
        <f>IF(A253="","",205)</f>
        <v/>
      </c>
      <c r="E253">
        <f>IF(OR(Stops!A205="",Stops!E205="",Stops!F205=""),"",ROUND((Stops!F205-Stops!E205)*1440,0))</f>
        <v/>
      </c>
    </row>
    <row r="254">
      <c r="A254">
        <f>IF(Stops!A206="","",Stops!A206)</f>
        <v/>
      </c>
      <c r="B254">
        <f>IF(E254="","",IF(E254&lt;=0,"het einde ligt voor het begin",IF(E254&lt;60,"venster korter dan een uur","")))</f>
        <v/>
      </c>
      <c r="D254">
        <f>IF(A254="","",206)</f>
        <v/>
      </c>
      <c r="E254">
        <f>IF(OR(Stops!A206="",Stops!E206="",Stops!F206=""),"",ROUND((Stops!F206-Stops!E206)*1440,0))</f>
        <v/>
      </c>
    </row>
    <row r="255">
      <c r="A255">
        <f>IF(Stops!A207="","",Stops!A207)</f>
        <v/>
      </c>
      <c r="B255">
        <f>IF(E255="","",IF(E255&lt;=0,"het einde ligt voor het begin",IF(E255&lt;60,"venster korter dan een uur","")))</f>
        <v/>
      </c>
      <c r="D255">
        <f>IF(A255="","",207)</f>
        <v/>
      </c>
      <c r="E255">
        <f>IF(OR(Stops!A207="",Stops!E207="",Stops!F207=""),"",ROUND((Stops!F207-Stops!E207)*1440,0))</f>
        <v/>
      </c>
    </row>
    <row r="256">
      <c r="A256">
        <f>IF(Stops!A208="","",Stops!A208)</f>
        <v/>
      </c>
      <c r="B256">
        <f>IF(E256="","",IF(E256&lt;=0,"het einde ligt voor het begin",IF(E256&lt;60,"venster korter dan een uur","")))</f>
        <v/>
      </c>
      <c r="D256">
        <f>IF(A256="","",208)</f>
        <v/>
      </c>
      <c r="E256">
        <f>IF(OR(Stops!A208="",Stops!E208="",Stops!F208=""),"",ROUND((Stops!F208-Stops!E208)*1440,0))</f>
        <v/>
      </c>
    </row>
    <row r="257">
      <c r="A257">
        <f>IF(Stops!A209="","",Stops!A209)</f>
        <v/>
      </c>
      <c r="B257">
        <f>IF(E257="","",IF(E257&lt;=0,"het einde ligt voor het begin",IF(E257&lt;60,"venster korter dan een uur","")))</f>
        <v/>
      </c>
      <c r="D257">
        <f>IF(A257="","",209)</f>
        <v/>
      </c>
      <c r="E257">
        <f>IF(OR(Stops!A209="",Stops!E209="",Stops!F209=""),"",ROUND((Stops!F209-Stops!E209)*1440,0))</f>
        <v/>
      </c>
    </row>
    <row r="258">
      <c r="A258">
        <f>IF(Stops!A210="","",Stops!A210)</f>
        <v/>
      </c>
      <c r="B258">
        <f>IF(E258="","",IF(E258&lt;=0,"het einde ligt voor het begin",IF(E258&lt;60,"venster korter dan een uur","")))</f>
        <v/>
      </c>
      <c r="D258">
        <f>IF(A258="","",210)</f>
        <v/>
      </c>
      <c r="E258">
        <f>IF(OR(Stops!A210="",Stops!E210="",Stops!F210=""),"",ROUND((Stops!F210-Stops!E210)*1440,0))</f>
        <v/>
      </c>
    </row>
    <row r="259">
      <c r="A259">
        <f>IF(Stops!A211="","",Stops!A211)</f>
        <v/>
      </c>
      <c r="B259">
        <f>IF(E259="","",IF(E259&lt;=0,"het einde ligt voor het begin",IF(E259&lt;60,"venster korter dan een uur","")))</f>
        <v/>
      </c>
      <c r="D259">
        <f>IF(A259="","",211)</f>
        <v/>
      </c>
      <c r="E259">
        <f>IF(OR(Stops!A211="",Stops!E211="",Stops!F211=""),"",ROUND((Stops!F211-Stops!E211)*1440,0))</f>
        <v/>
      </c>
    </row>
    <row r="260">
      <c r="A260">
        <f>IF(Stops!A212="","",Stops!A212)</f>
        <v/>
      </c>
      <c r="B260">
        <f>IF(E260="","",IF(E260&lt;=0,"het einde ligt voor het begin",IF(E260&lt;60,"venster korter dan een uur","")))</f>
        <v/>
      </c>
      <c r="D260">
        <f>IF(A260="","",212)</f>
        <v/>
      </c>
      <c r="E260">
        <f>IF(OR(Stops!A212="",Stops!E212="",Stops!F212=""),"",ROUND((Stops!F212-Stops!E212)*1440,0))</f>
        <v/>
      </c>
    </row>
    <row r="261">
      <c r="A261">
        <f>IF(Stops!A213="","",Stops!A213)</f>
        <v/>
      </c>
      <c r="B261">
        <f>IF(E261="","",IF(E261&lt;=0,"het einde ligt voor het begin",IF(E261&lt;60,"venster korter dan een uur","")))</f>
        <v/>
      </c>
      <c r="D261">
        <f>IF(A261="","",213)</f>
        <v/>
      </c>
      <c r="E261">
        <f>IF(OR(Stops!A213="",Stops!E213="",Stops!F213=""),"",ROUND((Stops!F213-Stops!E213)*1440,0))</f>
        <v/>
      </c>
    </row>
    <row r="262">
      <c r="A262">
        <f>IF(Stops!A214="","",Stops!A214)</f>
        <v/>
      </c>
      <c r="B262">
        <f>IF(E262="","",IF(E262&lt;=0,"het einde ligt voor het begin",IF(E262&lt;60,"venster korter dan een uur","")))</f>
        <v/>
      </c>
      <c r="D262">
        <f>IF(A262="","",214)</f>
        <v/>
      </c>
      <c r="E262">
        <f>IF(OR(Stops!A214="",Stops!E214="",Stops!F214=""),"",ROUND((Stops!F214-Stops!E214)*1440,0))</f>
        <v/>
      </c>
    </row>
    <row r="263">
      <c r="A263">
        <f>IF(Stops!A215="","",Stops!A215)</f>
        <v/>
      </c>
      <c r="B263">
        <f>IF(E263="","",IF(E263&lt;=0,"het einde ligt voor het begin",IF(E263&lt;60,"venster korter dan een uur","")))</f>
        <v/>
      </c>
      <c r="D263">
        <f>IF(A263="","",215)</f>
        <v/>
      </c>
      <c r="E263">
        <f>IF(OR(Stops!A215="",Stops!E215="",Stops!F215=""),"",ROUND((Stops!F215-Stops!E215)*1440,0))</f>
        <v/>
      </c>
    </row>
    <row r="264">
      <c r="A264">
        <f>IF(Stops!A216="","",Stops!A216)</f>
        <v/>
      </c>
      <c r="B264">
        <f>IF(E264="","",IF(E264&lt;=0,"het einde ligt voor het begin",IF(E264&lt;60,"venster korter dan een uur","")))</f>
        <v/>
      </c>
      <c r="D264">
        <f>IF(A264="","",216)</f>
        <v/>
      </c>
      <c r="E264">
        <f>IF(OR(Stops!A216="",Stops!E216="",Stops!F216=""),"",ROUND((Stops!F216-Stops!E216)*1440,0))</f>
        <v/>
      </c>
    </row>
    <row r="265">
      <c r="A265">
        <f>IF(Stops!A217="","",Stops!A217)</f>
        <v/>
      </c>
      <c r="B265">
        <f>IF(E265="","",IF(E265&lt;=0,"het einde ligt voor het begin",IF(E265&lt;60,"venster korter dan een uur","")))</f>
        <v/>
      </c>
      <c r="D265">
        <f>IF(A265="","",217)</f>
        <v/>
      </c>
      <c r="E265">
        <f>IF(OR(Stops!A217="",Stops!E217="",Stops!F217=""),"",ROUND((Stops!F217-Stops!E217)*1440,0))</f>
        <v/>
      </c>
    </row>
    <row r="266">
      <c r="A266">
        <f>IF(Stops!A218="","",Stops!A218)</f>
        <v/>
      </c>
      <c r="B266">
        <f>IF(E266="","",IF(E266&lt;=0,"het einde ligt voor het begin",IF(E266&lt;60,"venster korter dan een uur","")))</f>
        <v/>
      </c>
      <c r="D266">
        <f>IF(A266="","",218)</f>
        <v/>
      </c>
      <c r="E266">
        <f>IF(OR(Stops!A218="",Stops!E218="",Stops!F218=""),"",ROUND((Stops!F218-Stops!E218)*1440,0))</f>
        <v/>
      </c>
    </row>
    <row r="267">
      <c r="A267">
        <f>IF(Stops!A219="","",Stops!A219)</f>
        <v/>
      </c>
      <c r="B267">
        <f>IF(E267="","",IF(E267&lt;=0,"het einde ligt voor het begin",IF(E267&lt;60,"venster korter dan een uur","")))</f>
        <v/>
      </c>
      <c r="D267">
        <f>IF(A267="","",219)</f>
        <v/>
      </c>
      <c r="E267">
        <f>IF(OR(Stops!A219="",Stops!E219="",Stops!F219=""),"",ROUND((Stops!F219-Stops!E219)*1440,0))</f>
        <v/>
      </c>
    </row>
    <row r="268">
      <c r="A268">
        <f>IF(Stops!A220="","",Stops!A220)</f>
        <v/>
      </c>
      <c r="B268">
        <f>IF(E268="","",IF(E268&lt;=0,"het einde ligt voor het begin",IF(E268&lt;60,"venster korter dan een uur","")))</f>
        <v/>
      </c>
      <c r="D268">
        <f>IF(A268="","",220)</f>
        <v/>
      </c>
      <c r="E268">
        <f>IF(OR(Stops!A220="",Stops!E220="",Stops!F220=""),"",ROUND((Stops!F220-Stops!E220)*1440,0))</f>
        <v/>
      </c>
    </row>
    <row r="269">
      <c r="A269">
        <f>IF(Stops!A221="","",Stops!A221)</f>
        <v/>
      </c>
      <c r="B269">
        <f>IF(E269="","",IF(E269&lt;=0,"het einde ligt voor het begin",IF(E269&lt;60,"venster korter dan een uur","")))</f>
        <v/>
      </c>
      <c r="D269">
        <f>IF(A269="","",221)</f>
        <v/>
      </c>
      <c r="E269">
        <f>IF(OR(Stops!A221="",Stops!E221="",Stops!F221=""),"",ROUND((Stops!F221-Stops!E221)*1440,0))</f>
        <v/>
      </c>
    </row>
    <row r="270">
      <c r="A270">
        <f>IF(Stops!A222="","",Stops!A222)</f>
        <v/>
      </c>
      <c r="B270">
        <f>IF(E270="","",IF(E270&lt;=0,"het einde ligt voor het begin",IF(E270&lt;60,"venster korter dan een uur","")))</f>
        <v/>
      </c>
      <c r="D270">
        <f>IF(A270="","",222)</f>
        <v/>
      </c>
      <c r="E270">
        <f>IF(OR(Stops!A222="",Stops!E222="",Stops!F222=""),"",ROUND((Stops!F222-Stops!E222)*1440,0))</f>
        <v/>
      </c>
    </row>
    <row r="271">
      <c r="A271">
        <f>IF(Stops!A223="","",Stops!A223)</f>
        <v/>
      </c>
      <c r="B271">
        <f>IF(E271="","",IF(E271&lt;=0,"het einde ligt voor het begin",IF(E271&lt;60,"venster korter dan een uur","")))</f>
        <v/>
      </c>
      <c r="D271">
        <f>IF(A271="","",223)</f>
        <v/>
      </c>
      <c r="E271">
        <f>IF(OR(Stops!A223="",Stops!E223="",Stops!F223=""),"",ROUND((Stops!F223-Stops!E223)*1440,0))</f>
        <v/>
      </c>
    </row>
    <row r="272">
      <c r="A272">
        <f>IF(Stops!A224="","",Stops!A224)</f>
        <v/>
      </c>
      <c r="B272">
        <f>IF(E272="","",IF(E272&lt;=0,"het einde ligt voor het begin",IF(E272&lt;60,"venster korter dan een uur","")))</f>
        <v/>
      </c>
      <c r="D272">
        <f>IF(A272="","",224)</f>
        <v/>
      </c>
      <c r="E272">
        <f>IF(OR(Stops!A224="",Stops!E224="",Stops!F224=""),"",ROUND((Stops!F224-Stops!E224)*1440,0))</f>
        <v/>
      </c>
    </row>
    <row r="273">
      <c r="A273">
        <f>IF(Stops!A225="","",Stops!A225)</f>
        <v/>
      </c>
      <c r="B273">
        <f>IF(E273="","",IF(E273&lt;=0,"het einde ligt voor het begin",IF(E273&lt;60,"venster korter dan een uur","")))</f>
        <v/>
      </c>
      <c r="D273">
        <f>IF(A273="","",225)</f>
        <v/>
      </c>
      <c r="E273">
        <f>IF(OR(Stops!A225="",Stops!E225="",Stops!F225=""),"",ROUND((Stops!F225-Stops!E225)*1440,0))</f>
        <v/>
      </c>
    </row>
    <row r="274">
      <c r="A274">
        <f>IF(Stops!A226="","",Stops!A226)</f>
        <v/>
      </c>
      <c r="B274">
        <f>IF(E274="","",IF(E274&lt;=0,"het einde ligt voor het begin",IF(E274&lt;60,"venster korter dan een uur","")))</f>
        <v/>
      </c>
      <c r="D274">
        <f>IF(A274="","",226)</f>
        <v/>
      </c>
      <c r="E274">
        <f>IF(OR(Stops!A226="",Stops!E226="",Stops!F226=""),"",ROUND((Stops!F226-Stops!E226)*1440,0))</f>
        <v/>
      </c>
    </row>
    <row r="275">
      <c r="A275">
        <f>IF(Stops!A227="","",Stops!A227)</f>
        <v/>
      </c>
      <c r="B275">
        <f>IF(E275="","",IF(E275&lt;=0,"het einde ligt voor het begin",IF(E275&lt;60,"venster korter dan een uur","")))</f>
        <v/>
      </c>
      <c r="D275">
        <f>IF(A275="","",227)</f>
        <v/>
      </c>
      <c r="E275">
        <f>IF(OR(Stops!A227="",Stops!E227="",Stops!F227=""),"",ROUND((Stops!F227-Stops!E227)*1440,0))</f>
        <v/>
      </c>
    </row>
    <row r="276">
      <c r="A276">
        <f>IF(Stops!A228="","",Stops!A228)</f>
        <v/>
      </c>
      <c r="B276">
        <f>IF(E276="","",IF(E276&lt;=0,"het einde ligt voor het begin",IF(E276&lt;60,"venster korter dan een uur","")))</f>
        <v/>
      </c>
      <c r="D276">
        <f>IF(A276="","",228)</f>
        <v/>
      </c>
      <c r="E276">
        <f>IF(OR(Stops!A228="",Stops!E228="",Stops!F228=""),"",ROUND((Stops!F228-Stops!E228)*1440,0))</f>
        <v/>
      </c>
    </row>
    <row r="277">
      <c r="A277">
        <f>IF(Stops!A229="","",Stops!A229)</f>
        <v/>
      </c>
      <c r="B277">
        <f>IF(E277="","",IF(E277&lt;=0,"het einde ligt voor het begin",IF(E277&lt;60,"venster korter dan een uur","")))</f>
        <v/>
      </c>
      <c r="D277">
        <f>IF(A277="","",229)</f>
        <v/>
      </c>
      <c r="E277">
        <f>IF(OR(Stops!A229="",Stops!E229="",Stops!F229=""),"",ROUND((Stops!F229-Stops!E229)*1440,0))</f>
        <v/>
      </c>
    </row>
    <row r="278">
      <c r="A278">
        <f>IF(Stops!A230="","",Stops!A230)</f>
        <v/>
      </c>
      <c r="B278">
        <f>IF(E278="","",IF(E278&lt;=0,"het einde ligt voor het begin",IF(E278&lt;60,"venster korter dan een uur","")))</f>
        <v/>
      </c>
      <c r="D278">
        <f>IF(A278="","",230)</f>
        <v/>
      </c>
      <c r="E278">
        <f>IF(OR(Stops!A230="",Stops!E230="",Stops!F230=""),"",ROUND((Stops!F230-Stops!E230)*1440,0))</f>
        <v/>
      </c>
    </row>
    <row r="279">
      <c r="A279">
        <f>IF(Stops!A231="","",Stops!A231)</f>
        <v/>
      </c>
      <c r="B279">
        <f>IF(E279="","",IF(E279&lt;=0,"het einde ligt voor het begin",IF(E279&lt;60,"venster korter dan een uur","")))</f>
        <v/>
      </c>
      <c r="D279">
        <f>IF(A279="","",231)</f>
        <v/>
      </c>
      <c r="E279">
        <f>IF(OR(Stops!A231="",Stops!E231="",Stops!F231=""),"",ROUND((Stops!F231-Stops!E231)*1440,0))</f>
        <v/>
      </c>
    </row>
    <row r="280">
      <c r="A280">
        <f>IF(Stops!A232="","",Stops!A232)</f>
        <v/>
      </c>
      <c r="B280">
        <f>IF(E280="","",IF(E280&lt;=0,"het einde ligt voor het begin",IF(E280&lt;60,"venster korter dan een uur","")))</f>
        <v/>
      </c>
      <c r="D280">
        <f>IF(A280="","",232)</f>
        <v/>
      </c>
      <c r="E280">
        <f>IF(OR(Stops!A232="",Stops!E232="",Stops!F232=""),"",ROUND((Stops!F232-Stops!E232)*1440,0))</f>
        <v/>
      </c>
    </row>
    <row r="281">
      <c r="A281">
        <f>IF(Stops!A233="","",Stops!A233)</f>
        <v/>
      </c>
      <c r="B281">
        <f>IF(E281="","",IF(E281&lt;=0,"het einde ligt voor het begin",IF(E281&lt;60,"venster korter dan een uur","")))</f>
        <v/>
      </c>
      <c r="D281">
        <f>IF(A281="","",233)</f>
        <v/>
      </c>
      <c r="E281">
        <f>IF(OR(Stops!A233="",Stops!E233="",Stops!F233=""),"",ROUND((Stops!F233-Stops!E233)*1440,0))</f>
        <v/>
      </c>
    </row>
    <row r="282">
      <c r="A282">
        <f>IF(Stops!A234="","",Stops!A234)</f>
        <v/>
      </c>
      <c r="B282">
        <f>IF(E282="","",IF(E282&lt;=0,"het einde ligt voor het begin",IF(E282&lt;60,"venster korter dan een uur","")))</f>
        <v/>
      </c>
      <c r="D282">
        <f>IF(A282="","",234)</f>
        <v/>
      </c>
      <c r="E282">
        <f>IF(OR(Stops!A234="",Stops!E234="",Stops!F234=""),"",ROUND((Stops!F234-Stops!E234)*1440,0))</f>
        <v/>
      </c>
    </row>
    <row r="283">
      <c r="A283">
        <f>IF(Stops!A235="","",Stops!A235)</f>
        <v/>
      </c>
      <c r="B283">
        <f>IF(E283="","",IF(E283&lt;=0,"het einde ligt voor het begin",IF(E283&lt;60,"venster korter dan een uur","")))</f>
        <v/>
      </c>
      <c r="D283">
        <f>IF(A283="","",235)</f>
        <v/>
      </c>
      <c r="E283">
        <f>IF(OR(Stops!A235="",Stops!E235="",Stops!F235=""),"",ROUND((Stops!F235-Stops!E235)*1440,0))</f>
        <v/>
      </c>
    </row>
    <row r="284">
      <c r="A284">
        <f>IF(Stops!A236="","",Stops!A236)</f>
        <v/>
      </c>
      <c r="B284">
        <f>IF(E284="","",IF(E284&lt;=0,"het einde ligt voor het begin",IF(E284&lt;60,"venster korter dan een uur","")))</f>
        <v/>
      </c>
      <c r="D284">
        <f>IF(A284="","",236)</f>
        <v/>
      </c>
      <c r="E284">
        <f>IF(OR(Stops!A236="",Stops!E236="",Stops!F236=""),"",ROUND((Stops!F236-Stops!E236)*1440,0))</f>
        <v/>
      </c>
    </row>
    <row r="285">
      <c r="A285">
        <f>IF(Stops!A237="","",Stops!A237)</f>
        <v/>
      </c>
      <c r="B285">
        <f>IF(E285="","",IF(E285&lt;=0,"het einde ligt voor het begin",IF(E285&lt;60,"venster korter dan een uur","")))</f>
        <v/>
      </c>
      <c r="D285">
        <f>IF(A285="","",237)</f>
        <v/>
      </c>
      <c r="E285">
        <f>IF(OR(Stops!A237="",Stops!E237="",Stops!F237=""),"",ROUND((Stops!F237-Stops!E237)*1440,0))</f>
        <v/>
      </c>
    </row>
    <row r="286">
      <c r="A286">
        <f>IF(Stops!A238="","",Stops!A238)</f>
        <v/>
      </c>
      <c r="B286">
        <f>IF(E286="","",IF(E286&lt;=0,"het einde ligt voor het begin",IF(E286&lt;60,"venster korter dan een uur","")))</f>
        <v/>
      </c>
      <c r="D286">
        <f>IF(A286="","",238)</f>
        <v/>
      </c>
      <c r="E286">
        <f>IF(OR(Stops!A238="",Stops!E238="",Stops!F238=""),"",ROUND((Stops!F238-Stops!E238)*1440,0))</f>
        <v/>
      </c>
    </row>
    <row r="287">
      <c r="A287">
        <f>IF(Stops!A239="","",Stops!A239)</f>
        <v/>
      </c>
      <c r="B287">
        <f>IF(E287="","",IF(E287&lt;=0,"het einde ligt voor het begin",IF(E287&lt;60,"venster korter dan een uur","")))</f>
        <v/>
      </c>
      <c r="D287">
        <f>IF(A287="","",239)</f>
        <v/>
      </c>
      <c r="E287">
        <f>IF(OR(Stops!A239="",Stops!E239="",Stops!F239=""),"",ROUND((Stops!F239-Stops!E239)*1440,0))</f>
        <v/>
      </c>
    </row>
    <row r="288">
      <c r="A288">
        <f>IF(Stops!A240="","",Stops!A240)</f>
        <v/>
      </c>
      <c r="B288">
        <f>IF(E288="","",IF(E288&lt;=0,"het einde ligt voor het begin",IF(E288&lt;60,"venster korter dan een uur","")))</f>
        <v/>
      </c>
      <c r="D288">
        <f>IF(A288="","",240)</f>
        <v/>
      </c>
      <c r="E288">
        <f>IF(OR(Stops!A240="",Stops!E240="",Stops!F240=""),"",ROUND((Stops!F240-Stops!E240)*1440,0))</f>
        <v/>
      </c>
    </row>
    <row r="289">
      <c r="A289">
        <f>IF(Stops!A241="","",Stops!A241)</f>
        <v/>
      </c>
      <c r="B289">
        <f>IF(E289="","",IF(E289&lt;=0,"het einde ligt voor het begin",IF(E289&lt;60,"venster korter dan een uur","")))</f>
        <v/>
      </c>
      <c r="D289">
        <f>IF(A289="","",241)</f>
        <v/>
      </c>
      <c r="E289">
        <f>IF(OR(Stops!A241="",Stops!E241="",Stops!F241=""),"",ROUND((Stops!F241-Stops!E241)*1440,0))</f>
        <v/>
      </c>
    </row>
    <row r="290">
      <c r="A290">
        <f>IF(Stops!A242="","",Stops!A242)</f>
        <v/>
      </c>
      <c r="B290">
        <f>IF(E290="","",IF(E290&lt;=0,"het einde ligt voor het begin",IF(E290&lt;60,"venster korter dan een uur","")))</f>
        <v/>
      </c>
      <c r="D290">
        <f>IF(A290="","",242)</f>
        <v/>
      </c>
      <c r="E290">
        <f>IF(OR(Stops!A242="",Stops!E242="",Stops!F242=""),"",ROUND((Stops!F242-Stops!E242)*1440,0))</f>
        <v/>
      </c>
    </row>
    <row r="291">
      <c r="A291">
        <f>IF(Stops!A243="","",Stops!A243)</f>
        <v/>
      </c>
      <c r="B291">
        <f>IF(E291="","",IF(E291&lt;=0,"het einde ligt voor het begin",IF(E291&lt;60,"venster korter dan een uur","")))</f>
        <v/>
      </c>
      <c r="D291">
        <f>IF(A291="","",243)</f>
        <v/>
      </c>
      <c r="E291">
        <f>IF(OR(Stops!A243="",Stops!E243="",Stops!F243=""),"",ROUND((Stops!F243-Stops!E243)*1440,0))</f>
        <v/>
      </c>
    </row>
    <row r="292">
      <c r="A292">
        <f>IF(Stops!A244="","",Stops!A244)</f>
        <v/>
      </c>
      <c r="B292">
        <f>IF(E292="","",IF(E292&lt;=0,"het einde ligt voor het begin",IF(E292&lt;60,"venster korter dan een uur","")))</f>
        <v/>
      </c>
      <c r="D292">
        <f>IF(A292="","",244)</f>
        <v/>
      </c>
      <c r="E292">
        <f>IF(OR(Stops!A244="",Stops!E244="",Stops!F244=""),"",ROUND((Stops!F244-Stops!E244)*1440,0))</f>
        <v/>
      </c>
    </row>
    <row r="293">
      <c r="A293">
        <f>IF(Stops!A245="","",Stops!A245)</f>
        <v/>
      </c>
      <c r="B293">
        <f>IF(E293="","",IF(E293&lt;=0,"het einde ligt voor het begin",IF(E293&lt;60,"venster korter dan een uur","")))</f>
        <v/>
      </c>
      <c r="D293">
        <f>IF(A293="","",245)</f>
        <v/>
      </c>
      <c r="E293">
        <f>IF(OR(Stops!A245="",Stops!E245="",Stops!F245=""),"",ROUND((Stops!F245-Stops!E245)*1440,0))</f>
        <v/>
      </c>
    </row>
    <row r="294">
      <c r="A294">
        <f>IF(Stops!A246="","",Stops!A246)</f>
        <v/>
      </c>
      <c r="B294">
        <f>IF(E294="","",IF(E294&lt;=0,"het einde ligt voor het begin",IF(E294&lt;60,"venster korter dan een uur","")))</f>
        <v/>
      </c>
      <c r="D294">
        <f>IF(A294="","",246)</f>
        <v/>
      </c>
      <c r="E294">
        <f>IF(OR(Stops!A246="",Stops!E246="",Stops!F246=""),"",ROUND((Stops!F246-Stops!E246)*1440,0))</f>
        <v/>
      </c>
    </row>
    <row r="295">
      <c r="A295">
        <f>IF(Stops!A247="","",Stops!A247)</f>
        <v/>
      </c>
      <c r="B295">
        <f>IF(E295="","",IF(E295&lt;=0,"het einde ligt voor het begin",IF(E295&lt;60,"venster korter dan een uur","")))</f>
        <v/>
      </c>
      <c r="D295">
        <f>IF(A295="","",247)</f>
        <v/>
      </c>
      <c r="E295">
        <f>IF(OR(Stops!A247="",Stops!E247="",Stops!F247=""),"",ROUND((Stops!F247-Stops!E247)*1440,0))</f>
        <v/>
      </c>
    </row>
    <row r="296">
      <c r="A296">
        <f>IF(Stops!A248="","",Stops!A248)</f>
        <v/>
      </c>
      <c r="B296">
        <f>IF(E296="","",IF(E296&lt;=0,"het einde ligt voor het begin",IF(E296&lt;60,"venster korter dan een uur","")))</f>
        <v/>
      </c>
      <c r="D296">
        <f>IF(A296="","",248)</f>
        <v/>
      </c>
      <c r="E296">
        <f>IF(OR(Stops!A248="",Stops!E248="",Stops!F248=""),"",ROUND((Stops!F248-Stops!E248)*1440,0))</f>
        <v/>
      </c>
    </row>
    <row r="297">
      <c r="A297">
        <f>IF(Stops!A249="","",Stops!A249)</f>
        <v/>
      </c>
      <c r="B297">
        <f>IF(E297="","",IF(E297&lt;=0,"het einde ligt voor het begin",IF(E297&lt;60,"venster korter dan een uur","")))</f>
        <v/>
      </c>
      <c r="D297">
        <f>IF(A297="","",249)</f>
        <v/>
      </c>
      <c r="E297">
        <f>IF(OR(Stops!A249="",Stops!E249="",Stops!F249=""),"",ROUND((Stops!F249-Stops!E249)*1440,0))</f>
        <v/>
      </c>
    </row>
    <row r="298">
      <c r="A298">
        <f>IF(Stops!A250="","",Stops!A250)</f>
        <v/>
      </c>
      <c r="B298">
        <f>IF(E298="","",IF(E298&lt;=0,"het einde ligt voor het begin",IF(E298&lt;60,"venster korter dan een uur","")))</f>
        <v/>
      </c>
      <c r="D298">
        <f>IF(A298="","",250)</f>
        <v/>
      </c>
      <c r="E298">
        <f>IF(OR(Stops!A250="",Stops!E250="",Stops!F250=""),"",ROUND((Stops!F250-Stops!E250)*1440,0))</f>
        <v/>
      </c>
    </row>
    <row r="299">
      <c r="A299">
        <f>IF(Stops!A251="","",Stops!A251)</f>
        <v/>
      </c>
      <c r="B299">
        <f>IF(E299="","",IF(E299&lt;=0,"het einde ligt voor het begin",IF(E299&lt;60,"venster korter dan een uur","")))</f>
        <v/>
      </c>
      <c r="D299">
        <f>IF(A299="","",251)</f>
        <v/>
      </c>
      <c r="E299">
        <f>IF(OR(Stops!A251="",Stops!E251="",Stops!F251=""),"",ROUND((Stops!F251-Stops!E251)*1440,0))</f>
        <v/>
      </c>
    </row>
    <row r="300">
      <c r="A300">
        <f>IF(Stops!A252="","",Stops!A252)</f>
        <v/>
      </c>
      <c r="B300">
        <f>IF(E300="","",IF(E300&lt;=0,"het einde ligt voor het begin",IF(E300&lt;60,"venster korter dan een uur","")))</f>
        <v/>
      </c>
      <c r="D300">
        <f>IF(A300="","",252)</f>
        <v/>
      </c>
      <c r="E300">
        <f>IF(OR(Stops!A252="",Stops!E252="",Stops!F252=""),"",ROUND((Stops!F252-Stops!E252)*1440,0))</f>
        <v/>
      </c>
    </row>
    <row r="301">
      <c r="A301">
        <f>IF(Stops!A253="","",Stops!A253)</f>
        <v/>
      </c>
      <c r="B301">
        <f>IF(E301="","",IF(E301&lt;=0,"het einde ligt voor het begin",IF(E301&lt;60,"venster korter dan een uur","")))</f>
        <v/>
      </c>
      <c r="D301">
        <f>IF(A301="","",253)</f>
        <v/>
      </c>
      <c r="E301">
        <f>IF(OR(Stops!A253="",Stops!E253="",Stops!F253=""),"",ROUND((Stops!F253-Stops!E253)*1440,0))</f>
        <v/>
      </c>
    </row>
    <row r="302">
      <c r="A302">
        <f>IF(Stops!A254="","",Stops!A254)</f>
        <v/>
      </c>
      <c r="B302">
        <f>IF(E302="","",IF(E302&lt;=0,"het einde ligt voor het begin",IF(E302&lt;60,"venster korter dan een uur","")))</f>
        <v/>
      </c>
      <c r="D302">
        <f>IF(A302="","",254)</f>
        <v/>
      </c>
      <c r="E302">
        <f>IF(OR(Stops!A254="",Stops!E254="",Stops!F254=""),"",ROUND((Stops!F254-Stops!E254)*1440,0))</f>
        <v/>
      </c>
    </row>
    <row r="303">
      <c r="A303">
        <f>IF(Stops!A255="","",Stops!A255)</f>
        <v/>
      </c>
      <c r="B303">
        <f>IF(E303="","",IF(E303&lt;=0,"het einde ligt voor het begin",IF(E303&lt;60,"venster korter dan een uur","")))</f>
        <v/>
      </c>
      <c r="D303">
        <f>IF(A303="","",255)</f>
        <v/>
      </c>
      <c r="E303">
        <f>IF(OR(Stops!A255="",Stops!E255="",Stops!F255=""),"",ROUND((Stops!F255-Stops!E255)*1440,0))</f>
        <v/>
      </c>
    </row>
    <row r="304">
      <c r="A304">
        <f>IF(Stops!A256="","",Stops!A256)</f>
        <v/>
      </c>
      <c r="B304">
        <f>IF(E304="","",IF(E304&lt;=0,"het einde ligt voor het begin",IF(E304&lt;60,"venster korter dan een uur","")))</f>
        <v/>
      </c>
      <c r="D304">
        <f>IF(A304="","",256)</f>
        <v/>
      </c>
      <c r="E304">
        <f>IF(OR(Stops!A256="",Stops!E256="",Stops!F256=""),"",ROUND((Stops!F256-Stops!E256)*1440,0))</f>
        <v/>
      </c>
    </row>
    <row r="305">
      <c r="A305">
        <f>IF(Stops!A257="","",Stops!A257)</f>
        <v/>
      </c>
      <c r="B305">
        <f>IF(E305="","",IF(E305&lt;=0,"het einde ligt voor het begin",IF(E305&lt;60,"venster korter dan een uur","")))</f>
        <v/>
      </c>
      <c r="D305">
        <f>IF(A305="","",257)</f>
        <v/>
      </c>
      <c r="E305">
        <f>IF(OR(Stops!A257="",Stops!E257="",Stops!F257=""),"",ROUND((Stops!F257-Stops!E257)*1440,0))</f>
        <v/>
      </c>
    </row>
    <row r="306">
      <c r="A306">
        <f>IF(Stops!A258="","",Stops!A258)</f>
        <v/>
      </c>
      <c r="B306">
        <f>IF(E306="","",IF(E306&lt;=0,"het einde ligt voor het begin",IF(E306&lt;60,"venster korter dan een uur","")))</f>
        <v/>
      </c>
      <c r="D306">
        <f>IF(A306="","",258)</f>
        <v/>
      </c>
      <c r="E306">
        <f>IF(OR(Stops!A258="",Stops!E258="",Stops!F258=""),"",ROUND((Stops!F258-Stops!E258)*1440,0))</f>
        <v/>
      </c>
    </row>
    <row r="307">
      <c r="A307">
        <f>IF(Stops!A259="","",Stops!A259)</f>
        <v/>
      </c>
      <c r="B307">
        <f>IF(E307="","",IF(E307&lt;=0,"het einde ligt voor het begin",IF(E307&lt;60,"venster korter dan een uur","")))</f>
        <v/>
      </c>
      <c r="D307">
        <f>IF(A307="","",259)</f>
        <v/>
      </c>
      <c r="E307">
        <f>IF(OR(Stops!A259="",Stops!E259="",Stops!F259=""),"",ROUND((Stops!F259-Stops!E259)*1440,0))</f>
        <v/>
      </c>
    </row>
    <row r="308">
      <c r="A308">
        <f>IF(Stops!A260="","",Stops!A260)</f>
        <v/>
      </c>
      <c r="B308">
        <f>IF(E308="","",IF(E308&lt;=0,"het einde ligt voor het begin",IF(E308&lt;60,"venster korter dan een uur","")))</f>
        <v/>
      </c>
      <c r="D308">
        <f>IF(A308="","",260)</f>
        <v/>
      </c>
      <c r="E308">
        <f>IF(OR(Stops!A260="",Stops!E260="",Stops!F260=""),"",ROUND((Stops!F260-Stops!E260)*1440,0))</f>
        <v/>
      </c>
    </row>
    <row r="309">
      <c r="A309">
        <f>IF(Stops!A261="","",Stops!A261)</f>
        <v/>
      </c>
      <c r="B309">
        <f>IF(E309="","",IF(E309&lt;=0,"het einde ligt voor het begin",IF(E309&lt;60,"venster korter dan een uur","")))</f>
        <v/>
      </c>
      <c r="D309">
        <f>IF(A309="","",261)</f>
        <v/>
      </c>
      <c r="E309">
        <f>IF(OR(Stops!A261="",Stops!E261="",Stops!F261=""),"",ROUND((Stops!F261-Stops!E261)*1440,0))</f>
        <v/>
      </c>
    </row>
    <row r="310">
      <c r="A310">
        <f>IF(Stops!A262="","",Stops!A262)</f>
        <v/>
      </c>
      <c r="B310">
        <f>IF(E310="","",IF(E310&lt;=0,"het einde ligt voor het begin",IF(E310&lt;60,"venster korter dan een uur","")))</f>
        <v/>
      </c>
      <c r="D310">
        <f>IF(A310="","",262)</f>
        <v/>
      </c>
      <c r="E310">
        <f>IF(OR(Stops!A262="",Stops!E262="",Stops!F262=""),"",ROUND((Stops!F262-Stops!E262)*1440,0))</f>
        <v/>
      </c>
    </row>
    <row r="311">
      <c r="A311">
        <f>IF(Stops!A263="","",Stops!A263)</f>
        <v/>
      </c>
      <c r="B311">
        <f>IF(E311="","",IF(E311&lt;=0,"het einde ligt voor het begin",IF(E311&lt;60,"venster korter dan een uur","")))</f>
        <v/>
      </c>
      <c r="D311">
        <f>IF(A311="","",263)</f>
        <v/>
      </c>
      <c r="E311">
        <f>IF(OR(Stops!A263="",Stops!E263="",Stops!F263=""),"",ROUND((Stops!F263-Stops!E263)*1440,0))</f>
        <v/>
      </c>
    </row>
    <row r="312">
      <c r="A312">
        <f>IF(Stops!A264="","",Stops!A264)</f>
        <v/>
      </c>
      <c r="B312">
        <f>IF(E312="","",IF(E312&lt;=0,"het einde ligt voor het begin",IF(E312&lt;60,"venster korter dan een uur","")))</f>
        <v/>
      </c>
      <c r="D312">
        <f>IF(A312="","",264)</f>
        <v/>
      </c>
      <c r="E312">
        <f>IF(OR(Stops!A264="",Stops!E264="",Stops!F264=""),"",ROUND((Stops!F264-Stops!E264)*1440,0))</f>
        <v/>
      </c>
    </row>
    <row r="313">
      <c r="A313">
        <f>IF(Stops!A265="","",Stops!A265)</f>
        <v/>
      </c>
      <c r="B313">
        <f>IF(E313="","",IF(E313&lt;=0,"het einde ligt voor het begin",IF(E313&lt;60,"venster korter dan een uur","")))</f>
        <v/>
      </c>
      <c r="D313">
        <f>IF(A313="","",265)</f>
        <v/>
      </c>
      <c r="E313">
        <f>IF(OR(Stops!A265="",Stops!E265="",Stops!F265=""),"",ROUND((Stops!F265-Stops!E265)*1440,0))</f>
        <v/>
      </c>
    </row>
    <row r="314">
      <c r="A314">
        <f>IF(Stops!A266="","",Stops!A266)</f>
        <v/>
      </c>
      <c r="B314">
        <f>IF(E314="","",IF(E314&lt;=0,"het einde ligt voor het begin",IF(E314&lt;60,"venster korter dan een uur","")))</f>
        <v/>
      </c>
      <c r="D314">
        <f>IF(A314="","",266)</f>
        <v/>
      </c>
      <c r="E314">
        <f>IF(OR(Stops!A266="",Stops!E266="",Stops!F266=""),"",ROUND((Stops!F266-Stops!E266)*1440,0))</f>
        <v/>
      </c>
    </row>
    <row r="315">
      <c r="A315">
        <f>IF(Stops!A267="","",Stops!A267)</f>
        <v/>
      </c>
      <c r="B315">
        <f>IF(E315="","",IF(E315&lt;=0,"het einde ligt voor het begin",IF(E315&lt;60,"venster korter dan een uur","")))</f>
        <v/>
      </c>
      <c r="D315">
        <f>IF(A315="","",267)</f>
        <v/>
      </c>
      <c r="E315">
        <f>IF(OR(Stops!A267="",Stops!E267="",Stops!F267=""),"",ROUND((Stops!F267-Stops!E267)*1440,0))</f>
        <v/>
      </c>
    </row>
    <row r="316">
      <c r="A316">
        <f>IF(Stops!A268="","",Stops!A268)</f>
        <v/>
      </c>
      <c r="B316">
        <f>IF(E316="","",IF(E316&lt;=0,"het einde ligt voor het begin",IF(E316&lt;60,"venster korter dan een uur","")))</f>
        <v/>
      </c>
      <c r="D316">
        <f>IF(A316="","",268)</f>
        <v/>
      </c>
      <c r="E316">
        <f>IF(OR(Stops!A268="",Stops!E268="",Stops!F268=""),"",ROUND((Stops!F268-Stops!E268)*1440,0))</f>
        <v/>
      </c>
    </row>
    <row r="317">
      <c r="A317">
        <f>IF(Stops!A269="","",Stops!A269)</f>
        <v/>
      </c>
      <c r="B317">
        <f>IF(E317="","",IF(E317&lt;=0,"het einde ligt voor het begin",IF(E317&lt;60,"venster korter dan een uur","")))</f>
        <v/>
      </c>
      <c r="D317">
        <f>IF(A317="","",269)</f>
        <v/>
      </c>
      <c r="E317">
        <f>IF(OR(Stops!A269="",Stops!E269="",Stops!F269=""),"",ROUND((Stops!F269-Stops!E269)*1440,0))</f>
        <v/>
      </c>
    </row>
    <row r="318">
      <c r="A318">
        <f>IF(Stops!A270="","",Stops!A270)</f>
        <v/>
      </c>
      <c r="B318">
        <f>IF(E318="","",IF(E318&lt;=0,"het einde ligt voor het begin",IF(E318&lt;60,"venster korter dan een uur","")))</f>
        <v/>
      </c>
      <c r="D318">
        <f>IF(A318="","",270)</f>
        <v/>
      </c>
      <c r="E318">
        <f>IF(OR(Stops!A270="",Stops!E270="",Stops!F270=""),"",ROUND((Stops!F270-Stops!E270)*1440,0))</f>
        <v/>
      </c>
    </row>
    <row r="319">
      <c r="A319">
        <f>IF(Stops!A271="","",Stops!A271)</f>
        <v/>
      </c>
      <c r="B319">
        <f>IF(E319="","",IF(E319&lt;=0,"het einde ligt voor het begin",IF(E319&lt;60,"venster korter dan een uur","")))</f>
        <v/>
      </c>
      <c r="D319">
        <f>IF(A319="","",271)</f>
        <v/>
      </c>
      <c r="E319">
        <f>IF(OR(Stops!A271="",Stops!E271="",Stops!F271=""),"",ROUND((Stops!F271-Stops!E271)*1440,0))</f>
        <v/>
      </c>
    </row>
    <row r="320">
      <c r="A320">
        <f>IF(Stops!A272="","",Stops!A272)</f>
        <v/>
      </c>
      <c r="B320">
        <f>IF(E320="","",IF(E320&lt;=0,"het einde ligt voor het begin",IF(E320&lt;60,"venster korter dan een uur","")))</f>
        <v/>
      </c>
      <c r="D320">
        <f>IF(A320="","",272)</f>
        <v/>
      </c>
      <c r="E320">
        <f>IF(OR(Stops!A272="",Stops!E272="",Stops!F272=""),"",ROUND((Stops!F272-Stops!E272)*1440,0))</f>
        <v/>
      </c>
    </row>
    <row r="321">
      <c r="A321">
        <f>IF(Stops!A273="","",Stops!A273)</f>
        <v/>
      </c>
      <c r="B321">
        <f>IF(E321="","",IF(E321&lt;=0,"het einde ligt voor het begin",IF(E321&lt;60,"venster korter dan een uur","")))</f>
        <v/>
      </c>
      <c r="D321">
        <f>IF(A321="","",273)</f>
        <v/>
      </c>
      <c r="E321">
        <f>IF(OR(Stops!A273="",Stops!E273="",Stops!F273=""),"",ROUND((Stops!F273-Stops!E273)*1440,0))</f>
        <v/>
      </c>
    </row>
    <row r="322">
      <c r="A322">
        <f>IF(Stops!A274="","",Stops!A274)</f>
        <v/>
      </c>
      <c r="B322">
        <f>IF(E322="","",IF(E322&lt;=0,"het einde ligt voor het begin",IF(E322&lt;60,"venster korter dan een uur","")))</f>
        <v/>
      </c>
      <c r="D322">
        <f>IF(A322="","",274)</f>
        <v/>
      </c>
      <c r="E322">
        <f>IF(OR(Stops!A274="",Stops!E274="",Stops!F274=""),"",ROUND((Stops!F274-Stops!E274)*1440,0))</f>
        <v/>
      </c>
    </row>
    <row r="323">
      <c r="A323">
        <f>IF(Stops!A275="","",Stops!A275)</f>
        <v/>
      </c>
      <c r="B323">
        <f>IF(E323="","",IF(E323&lt;=0,"het einde ligt voor het begin",IF(E323&lt;60,"venster korter dan een uur","")))</f>
        <v/>
      </c>
      <c r="D323">
        <f>IF(A323="","",275)</f>
        <v/>
      </c>
      <c r="E323">
        <f>IF(OR(Stops!A275="",Stops!E275="",Stops!F275=""),"",ROUND((Stops!F275-Stops!E275)*1440,0))</f>
        <v/>
      </c>
    </row>
    <row r="324">
      <c r="A324">
        <f>IF(Stops!A276="","",Stops!A276)</f>
        <v/>
      </c>
      <c r="B324">
        <f>IF(E324="","",IF(E324&lt;=0,"het einde ligt voor het begin",IF(E324&lt;60,"venster korter dan een uur","")))</f>
        <v/>
      </c>
      <c r="D324">
        <f>IF(A324="","",276)</f>
        <v/>
      </c>
      <c r="E324">
        <f>IF(OR(Stops!A276="",Stops!E276="",Stops!F276=""),"",ROUND((Stops!F276-Stops!E276)*1440,0))</f>
        <v/>
      </c>
    </row>
    <row r="325">
      <c r="A325">
        <f>IF(Stops!A277="","",Stops!A277)</f>
        <v/>
      </c>
      <c r="B325">
        <f>IF(E325="","",IF(E325&lt;=0,"het einde ligt voor het begin",IF(E325&lt;60,"venster korter dan een uur","")))</f>
        <v/>
      </c>
      <c r="D325">
        <f>IF(A325="","",277)</f>
        <v/>
      </c>
      <c r="E325">
        <f>IF(OR(Stops!A277="",Stops!E277="",Stops!F277=""),"",ROUND((Stops!F277-Stops!E277)*1440,0))</f>
        <v/>
      </c>
    </row>
    <row r="326">
      <c r="A326">
        <f>IF(Stops!A278="","",Stops!A278)</f>
        <v/>
      </c>
      <c r="B326">
        <f>IF(E326="","",IF(E326&lt;=0,"het einde ligt voor het begin",IF(E326&lt;60,"venster korter dan een uur","")))</f>
        <v/>
      </c>
      <c r="D326">
        <f>IF(A326="","",278)</f>
        <v/>
      </c>
      <c r="E326">
        <f>IF(OR(Stops!A278="",Stops!E278="",Stops!F278=""),"",ROUND((Stops!F278-Stops!E278)*1440,0))</f>
        <v/>
      </c>
    </row>
    <row r="327">
      <c r="A327">
        <f>IF(Stops!A279="","",Stops!A279)</f>
        <v/>
      </c>
      <c r="B327">
        <f>IF(E327="","",IF(E327&lt;=0,"het einde ligt voor het begin",IF(E327&lt;60,"venster korter dan een uur","")))</f>
        <v/>
      </c>
      <c r="D327">
        <f>IF(A327="","",279)</f>
        <v/>
      </c>
      <c r="E327">
        <f>IF(OR(Stops!A279="",Stops!E279="",Stops!F279=""),"",ROUND((Stops!F279-Stops!E279)*1440,0))</f>
        <v/>
      </c>
    </row>
    <row r="328">
      <c r="A328">
        <f>IF(Stops!A280="","",Stops!A280)</f>
        <v/>
      </c>
      <c r="B328">
        <f>IF(E328="","",IF(E328&lt;=0,"het einde ligt voor het begin",IF(E328&lt;60,"venster korter dan een uur","")))</f>
        <v/>
      </c>
      <c r="D328">
        <f>IF(A328="","",280)</f>
        <v/>
      </c>
      <c r="E328">
        <f>IF(OR(Stops!A280="",Stops!E280="",Stops!F280=""),"",ROUND((Stops!F280-Stops!E280)*1440,0))</f>
        <v/>
      </c>
    </row>
    <row r="329">
      <c r="A329">
        <f>IF(Stops!A281="","",Stops!A281)</f>
        <v/>
      </c>
      <c r="B329">
        <f>IF(E329="","",IF(E329&lt;=0,"het einde ligt voor het begin",IF(E329&lt;60,"venster korter dan een uur","")))</f>
        <v/>
      </c>
      <c r="D329">
        <f>IF(A329="","",281)</f>
        <v/>
      </c>
      <c r="E329">
        <f>IF(OR(Stops!A281="",Stops!E281="",Stops!F281=""),"",ROUND((Stops!F281-Stops!E281)*1440,0))</f>
        <v/>
      </c>
    </row>
    <row r="330">
      <c r="A330">
        <f>IF(Stops!A282="","",Stops!A282)</f>
        <v/>
      </c>
      <c r="B330">
        <f>IF(E330="","",IF(E330&lt;=0,"het einde ligt voor het begin",IF(E330&lt;60,"venster korter dan een uur","")))</f>
        <v/>
      </c>
      <c r="D330">
        <f>IF(A330="","",282)</f>
        <v/>
      </c>
      <c r="E330">
        <f>IF(OR(Stops!A282="",Stops!E282="",Stops!F282=""),"",ROUND((Stops!F282-Stops!E282)*1440,0))</f>
        <v/>
      </c>
    </row>
    <row r="331">
      <c r="A331">
        <f>IF(Stops!A283="","",Stops!A283)</f>
        <v/>
      </c>
      <c r="B331">
        <f>IF(E331="","",IF(E331&lt;=0,"het einde ligt voor het begin",IF(E331&lt;60,"venster korter dan een uur","")))</f>
        <v/>
      </c>
      <c r="D331">
        <f>IF(A331="","",283)</f>
        <v/>
      </c>
      <c r="E331">
        <f>IF(OR(Stops!A283="",Stops!E283="",Stops!F283=""),"",ROUND((Stops!F283-Stops!E283)*1440,0))</f>
        <v/>
      </c>
    </row>
    <row r="332">
      <c r="A332">
        <f>IF(Stops!A284="","",Stops!A284)</f>
        <v/>
      </c>
      <c r="B332">
        <f>IF(E332="","",IF(E332&lt;=0,"het einde ligt voor het begin",IF(E332&lt;60,"venster korter dan een uur","")))</f>
        <v/>
      </c>
      <c r="D332">
        <f>IF(A332="","",284)</f>
        <v/>
      </c>
      <c r="E332">
        <f>IF(OR(Stops!A284="",Stops!E284="",Stops!F284=""),"",ROUND((Stops!F284-Stops!E284)*1440,0))</f>
        <v/>
      </c>
    </row>
    <row r="333">
      <c r="A333">
        <f>IF(Stops!A285="","",Stops!A285)</f>
        <v/>
      </c>
      <c r="B333">
        <f>IF(E333="","",IF(E333&lt;=0,"het einde ligt voor het begin",IF(E333&lt;60,"venster korter dan een uur","")))</f>
        <v/>
      </c>
      <c r="D333">
        <f>IF(A333="","",285)</f>
        <v/>
      </c>
      <c r="E333">
        <f>IF(OR(Stops!A285="",Stops!E285="",Stops!F285=""),"",ROUND((Stops!F285-Stops!E285)*1440,0))</f>
        <v/>
      </c>
    </row>
    <row r="334">
      <c r="A334">
        <f>IF(Stops!A286="","",Stops!A286)</f>
        <v/>
      </c>
      <c r="B334">
        <f>IF(E334="","",IF(E334&lt;=0,"het einde ligt voor het begin",IF(E334&lt;60,"venster korter dan een uur","")))</f>
        <v/>
      </c>
      <c r="D334">
        <f>IF(A334="","",286)</f>
        <v/>
      </c>
      <c r="E334">
        <f>IF(OR(Stops!A286="",Stops!E286="",Stops!F286=""),"",ROUND((Stops!F286-Stops!E286)*1440,0))</f>
        <v/>
      </c>
    </row>
    <row r="335">
      <c r="A335">
        <f>IF(Stops!A287="","",Stops!A287)</f>
        <v/>
      </c>
      <c r="B335">
        <f>IF(E335="","",IF(E335&lt;=0,"het einde ligt voor het begin",IF(E335&lt;60,"venster korter dan een uur","")))</f>
        <v/>
      </c>
      <c r="D335">
        <f>IF(A335="","",287)</f>
        <v/>
      </c>
      <c r="E335">
        <f>IF(OR(Stops!A287="",Stops!E287="",Stops!F287=""),"",ROUND((Stops!F287-Stops!E287)*1440,0))</f>
        <v/>
      </c>
    </row>
    <row r="336">
      <c r="A336">
        <f>IF(Stops!A288="","",Stops!A288)</f>
        <v/>
      </c>
      <c r="B336">
        <f>IF(E336="","",IF(E336&lt;=0,"het einde ligt voor het begin",IF(E336&lt;60,"venster korter dan een uur","")))</f>
        <v/>
      </c>
      <c r="D336">
        <f>IF(A336="","",288)</f>
        <v/>
      </c>
      <c r="E336">
        <f>IF(OR(Stops!A288="",Stops!E288="",Stops!F288=""),"",ROUND((Stops!F288-Stops!E288)*1440,0))</f>
        <v/>
      </c>
    </row>
    <row r="337">
      <c r="A337">
        <f>IF(Stops!A289="","",Stops!A289)</f>
        <v/>
      </c>
      <c r="B337">
        <f>IF(E337="","",IF(E337&lt;=0,"het einde ligt voor het begin",IF(E337&lt;60,"venster korter dan een uur","")))</f>
        <v/>
      </c>
      <c r="D337">
        <f>IF(A337="","",289)</f>
        <v/>
      </c>
      <c r="E337">
        <f>IF(OR(Stops!A289="",Stops!E289="",Stops!F289=""),"",ROUND((Stops!F289-Stops!E289)*1440,0))</f>
        <v/>
      </c>
    </row>
    <row r="338">
      <c r="A338">
        <f>IF(Stops!A290="","",Stops!A290)</f>
        <v/>
      </c>
      <c r="B338">
        <f>IF(E338="","",IF(E338&lt;=0,"het einde ligt voor het begin",IF(E338&lt;60,"venster korter dan een uur","")))</f>
        <v/>
      </c>
      <c r="D338">
        <f>IF(A338="","",290)</f>
        <v/>
      </c>
      <c r="E338">
        <f>IF(OR(Stops!A290="",Stops!E290="",Stops!F290=""),"",ROUND((Stops!F290-Stops!E290)*1440,0))</f>
        <v/>
      </c>
    </row>
    <row r="339">
      <c r="A339">
        <f>IF(Stops!A291="","",Stops!A291)</f>
        <v/>
      </c>
      <c r="B339">
        <f>IF(E339="","",IF(E339&lt;=0,"het einde ligt voor het begin",IF(E339&lt;60,"venster korter dan een uur","")))</f>
        <v/>
      </c>
      <c r="D339">
        <f>IF(A339="","",291)</f>
        <v/>
      </c>
      <c r="E339">
        <f>IF(OR(Stops!A291="",Stops!E291="",Stops!F291=""),"",ROUND((Stops!F291-Stops!E291)*1440,0))</f>
        <v/>
      </c>
    </row>
    <row r="340">
      <c r="A340">
        <f>IF(Stops!A292="","",Stops!A292)</f>
        <v/>
      </c>
      <c r="B340">
        <f>IF(E340="","",IF(E340&lt;=0,"het einde ligt voor het begin",IF(E340&lt;60,"venster korter dan een uur","")))</f>
        <v/>
      </c>
      <c r="D340">
        <f>IF(A340="","",292)</f>
        <v/>
      </c>
      <c r="E340">
        <f>IF(OR(Stops!A292="",Stops!E292="",Stops!F292=""),"",ROUND((Stops!F292-Stops!E292)*1440,0))</f>
        <v/>
      </c>
    </row>
    <row r="341">
      <c r="A341">
        <f>IF(Stops!A293="","",Stops!A293)</f>
        <v/>
      </c>
      <c r="B341">
        <f>IF(E341="","",IF(E341&lt;=0,"het einde ligt voor het begin",IF(E341&lt;60,"venster korter dan een uur","")))</f>
        <v/>
      </c>
      <c r="D341">
        <f>IF(A341="","",293)</f>
        <v/>
      </c>
      <c r="E341">
        <f>IF(OR(Stops!A293="",Stops!E293="",Stops!F293=""),"",ROUND((Stops!F293-Stops!E293)*1440,0))</f>
        <v/>
      </c>
    </row>
    <row r="342">
      <c r="A342">
        <f>IF(Stops!A294="","",Stops!A294)</f>
        <v/>
      </c>
      <c r="B342">
        <f>IF(E342="","",IF(E342&lt;=0,"het einde ligt voor het begin",IF(E342&lt;60,"venster korter dan een uur","")))</f>
        <v/>
      </c>
      <c r="D342">
        <f>IF(A342="","",294)</f>
        <v/>
      </c>
      <c r="E342">
        <f>IF(OR(Stops!A294="",Stops!E294="",Stops!F294=""),"",ROUND((Stops!F294-Stops!E294)*1440,0))</f>
        <v/>
      </c>
    </row>
    <row r="343">
      <c r="A343">
        <f>IF(Stops!A295="","",Stops!A295)</f>
        <v/>
      </c>
      <c r="B343">
        <f>IF(E343="","",IF(E343&lt;=0,"het einde ligt voor het begin",IF(E343&lt;60,"venster korter dan een uur","")))</f>
        <v/>
      </c>
      <c r="D343">
        <f>IF(A343="","",295)</f>
        <v/>
      </c>
      <c r="E343">
        <f>IF(OR(Stops!A295="",Stops!E295="",Stops!F295=""),"",ROUND((Stops!F295-Stops!E295)*1440,0))</f>
        <v/>
      </c>
    </row>
    <row r="344">
      <c r="A344">
        <f>IF(Stops!A296="","",Stops!A296)</f>
        <v/>
      </c>
      <c r="B344">
        <f>IF(E344="","",IF(E344&lt;=0,"het einde ligt voor het begin",IF(E344&lt;60,"venster korter dan een uur","")))</f>
        <v/>
      </c>
      <c r="D344">
        <f>IF(A344="","",296)</f>
        <v/>
      </c>
      <c r="E344">
        <f>IF(OR(Stops!A296="",Stops!E296="",Stops!F296=""),"",ROUND((Stops!F296-Stops!E296)*1440,0))</f>
        <v/>
      </c>
    </row>
    <row r="345">
      <c r="A345">
        <f>IF(Stops!A297="","",Stops!A297)</f>
        <v/>
      </c>
      <c r="B345">
        <f>IF(E345="","",IF(E345&lt;=0,"het einde ligt voor het begin",IF(E345&lt;60,"venster korter dan een uur","")))</f>
        <v/>
      </c>
      <c r="D345">
        <f>IF(A345="","",297)</f>
        <v/>
      </c>
      <c r="E345">
        <f>IF(OR(Stops!A297="",Stops!E297="",Stops!F297=""),"",ROUND((Stops!F297-Stops!E297)*1440,0))</f>
        <v/>
      </c>
    </row>
    <row r="346">
      <c r="A346">
        <f>IF(Stops!A298="","",Stops!A298)</f>
        <v/>
      </c>
      <c r="B346">
        <f>IF(E346="","",IF(E346&lt;=0,"het einde ligt voor het begin",IF(E346&lt;60,"venster korter dan een uur","")))</f>
        <v/>
      </c>
      <c r="D346">
        <f>IF(A346="","",298)</f>
        <v/>
      </c>
      <c r="E346">
        <f>IF(OR(Stops!A298="",Stops!E298="",Stops!F298=""),"",ROUND((Stops!F298-Stops!E298)*1440,0))</f>
        <v/>
      </c>
    </row>
    <row r="347">
      <c r="A347">
        <f>IF(Stops!A299="","",Stops!A299)</f>
        <v/>
      </c>
      <c r="B347">
        <f>IF(E347="","",IF(E347&lt;=0,"het einde ligt voor het begin",IF(E347&lt;60,"venster korter dan een uur","")))</f>
        <v/>
      </c>
      <c r="D347">
        <f>IF(A347="","",299)</f>
        <v/>
      </c>
      <c r="E347">
        <f>IF(OR(Stops!A299="",Stops!E299="",Stops!F299=""),"",ROUND((Stops!F299-Stops!E299)*1440,0))</f>
        <v/>
      </c>
    </row>
    <row r="348">
      <c r="A348">
        <f>IF(Stops!A300="","",Stops!A300)</f>
        <v/>
      </c>
      <c r="B348">
        <f>IF(E348="","",IF(E348&lt;=0,"het einde ligt voor het begin",IF(E348&lt;60,"venster korter dan een uur","")))</f>
        <v/>
      </c>
      <c r="D348">
        <f>IF(A348="","",300)</f>
        <v/>
      </c>
      <c r="E348">
        <f>IF(OR(Stops!A300="",Stops!E300="",Stops!F300=""),"",ROUND((Stops!F300-Stops!E300)*1440,0))</f>
        <v/>
      </c>
    </row>
    <row r="349">
      <c r="A349">
        <f>IF(Stops!A301="","",Stops!A301)</f>
        <v/>
      </c>
      <c r="B349">
        <f>IF(E349="","",IF(E349&lt;=0,"het einde ligt voor het begin",IF(E349&lt;60,"venster korter dan een uur","")))</f>
        <v/>
      </c>
      <c r="D349">
        <f>IF(A349="","",301)</f>
        <v/>
      </c>
      <c r="E349">
        <f>IF(OR(Stops!A301="",Stops!E301="",Stops!F301=""),"",ROUND((Stops!F301-Stops!E301)*1440,0))</f>
        <v/>
      </c>
    </row>
    <row r="350">
      <c r="A350">
        <f>IF(Stops!A302="","",Stops!A302)</f>
        <v/>
      </c>
      <c r="B350">
        <f>IF(E350="","",IF(E350&lt;=0,"het einde ligt voor het begin",IF(E350&lt;60,"venster korter dan een uur","")))</f>
        <v/>
      </c>
      <c r="D350">
        <f>IF(A350="","",302)</f>
        <v/>
      </c>
      <c r="E350">
        <f>IF(OR(Stops!A302="",Stops!E302="",Stops!F302=""),"",ROUND((Stops!F302-Stops!E302)*1440,0))</f>
        <v/>
      </c>
    </row>
    <row r="351">
      <c r="A351">
        <f>IF(Stops!A303="","",Stops!A303)</f>
        <v/>
      </c>
      <c r="B351">
        <f>IF(E351="","",IF(E351&lt;=0,"het einde ligt voor het begin",IF(E351&lt;60,"venster korter dan een uur","")))</f>
        <v/>
      </c>
      <c r="D351">
        <f>IF(A351="","",303)</f>
        <v/>
      </c>
      <c r="E351">
        <f>IF(OR(Stops!A303="",Stops!E303="",Stops!F303=""),"",ROUND((Stops!F303-Stops!E303)*1440,0))</f>
        <v/>
      </c>
    </row>
    <row r="352">
      <c r="A352">
        <f>IF(Stops!A304="","",Stops!A304)</f>
        <v/>
      </c>
      <c r="B352">
        <f>IF(E352="","",IF(E352&lt;=0,"het einde ligt voor het begin",IF(E352&lt;60,"venster korter dan een uur","")))</f>
        <v/>
      </c>
      <c r="D352">
        <f>IF(A352="","",304)</f>
        <v/>
      </c>
      <c r="E352">
        <f>IF(OR(Stops!A304="",Stops!E304="",Stops!F304=""),"",ROUND((Stops!F304-Stops!E304)*1440,0))</f>
        <v/>
      </c>
    </row>
    <row r="353">
      <c r="A353">
        <f>IF(Stops!A305="","",Stops!A305)</f>
        <v/>
      </c>
      <c r="B353">
        <f>IF(E353="","",IF(E353&lt;=0,"het einde ligt voor het begin",IF(E353&lt;60,"venster korter dan een uur","")))</f>
        <v/>
      </c>
      <c r="D353">
        <f>IF(A353="","",305)</f>
        <v/>
      </c>
      <c r="E353">
        <f>IF(OR(Stops!A305="",Stops!E305="",Stops!F305=""),"",ROUND((Stops!F305-Stops!E305)*1440,0))</f>
        <v/>
      </c>
    </row>
    <row r="354">
      <c r="A354">
        <f>IF(Stops!A306="","",Stops!A306)</f>
        <v/>
      </c>
      <c r="B354">
        <f>IF(E354="","",IF(E354&lt;=0,"het einde ligt voor het begin",IF(E354&lt;60,"venster korter dan een uur","")))</f>
        <v/>
      </c>
      <c r="D354">
        <f>IF(A354="","",306)</f>
        <v/>
      </c>
      <c r="E354">
        <f>IF(OR(Stops!A306="",Stops!E306="",Stops!F306=""),"",ROUND((Stops!F306-Stops!E306)*1440,0))</f>
        <v/>
      </c>
    </row>
    <row r="355">
      <c r="A355">
        <f>IF(Stops!A307="","",Stops!A307)</f>
        <v/>
      </c>
      <c r="B355">
        <f>IF(E355="","",IF(E355&lt;=0,"het einde ligt voor het begin",IF(E355&lt;60,"venster korter dan een uur","")))</f>
        <v/>
      </c>
      <c r="D355">
        <f>IF(A355="","",307)</f>
        <v/>
      </c>
      <c r="E355">
        <f>IF(OR(Stops!A307="",Stops!E307="",Stops!F307=""),"",ROUND((Stops!F307-Stops!E307)*1440,0))</f>
        <v/>
      </c>
    </row>
    <row r="356">
      <c r="A356">
        <f>IF(Stops!A308="","",Stops!A308)</f>
        <v/>
      </c>
      <c r="B356">
        <f>IF(E356="","",IF(E356&lt;=0,"het einde ligt voor het begin",IF(E356&lt;60,"venster korter dan een uur","")))</f>
        <v/>
      </c>
      <c r="D356">
        <f>IF(A356="","",308)</f>
        <v/>
      </c>
      <c r="E356">
        <f>IF(OR(Stops!A308="",Stops!E308="",Stops!F308=""),"",ROUND((Stops!F308-Stops!E308)*1440,0))</f>
        <v/>
      </c>
    </row>
    <row r="357">
      <c r="A357">
        <f>IF(Stops!A309="","",Stops!A309)</f>
        <v/>
      </c>
      <c r="B357">
        <f>IF(E357="","",IF(E357&lt;=0,"het einde ligt voor het begin",IF(E357&lt;60,"venster korter dan een uur","")))</f>
        <v/>
      </c>
      <c r="D357">
        <f>IF(A357="","",309)</f>
        <v/>
      </c>
      <c r="E357">
        <f>IF(OR(Stops!A309="",Stops!E309="",Stops!F309=""),"",ROUND((Stops!F309-Stops!E309)*1440,0))</f>
        <v/>
      </c>
    </row>
    <row r="358">
      <c r="A358">
        <f>IF(Stops!A310="","",Stops!A310)</f>
        <v/>
      </c>
      <c r="B358">
        <f>IF(E358="","",IF(E358&lt;=0,"het einde ligt voor het begin",IF(E358&lt;60,"venster korter dan een uur","")))</f>
        <v/>
      </c>
      <c r="D358">
        <f>IF(A358="","",310)</f>
        <v/>
      </c>
      <c r="E358">
        <f>IF(OR(Stops!A310="",Stops!E310="",Stops!F310=""),"",ROUND((Stops!F310-Stops!E310)*1440,0))</f>
        <v/>
      </c>
    </row>
    <row r="359">
      <c r="A359">
        <f>IF(Stops!A311="","",Stops!A311)</f>
        <v/>
      </c>
      <c r="B359">
        <f>IF(E359="","",IF(E359&lt;=0,"het einde ligt voor het begin",IF(E359&lt;60,"venster korter dan een uur","")))</f>
        <v/>
      </c>
      <c r="D359">
        <f>IF(A359="","",311)</f>
        <v/>
      </c>
      <c r="E359">
        <f>IF(OR(Stops!A311="",Stops!E311="",Stops!F311=""),"",ROUND((Stops!F311-Stops!E311)*1440,0))</f>
        <v/>
      </c>
    </row>
    <row r="360">
      <c r="A360">
        <f>IF(Stops!A312="","",Stops!A312)</f>
        <v/>
      </c>
      <c r="B360">
        <f>IF(E360="","",IF(E360&lt;=0,"het einde ligt voor het begin",IF(E360&lt;60,"venster korter dan een uur","")))</f>
        <v/>
      </c>
      <c r="D360">
        <f>IF(A360="","",312)</f>
        <v/>
      </c>
      <c r="E360">
        <f>IF(OR(Stops!A312="",Stops!E312="",Stops!F312=""),"",ROUND((Stops!F312-Stops!E312)*1440,0))</f>
        <v/>
      </c>
    </row>
    <row r="361">
      <c r="A361">
        <f>IF(Stops!A313="","",Stops!A313)</f>
        <v/>
      </c>
      <c r="B361">
        <f>IF(E361="","",IF(E361&lt;=0,"het einde ligt voor het begin",IF(E361&lt;60,"venster korter dan een uur","")))</f>
        <v/>
      </c>
      <c r="D361">
        <f>IF(A361="","",313)</f>
        <v/>
      </c>
      <c r="E361">
        <f>IF(OR(Stops!A313="",Stops!E313="",Stops!F313=""),"",ROUND((Stops!F313-Stops!E313)*1440,0))</f>
        <v/>
      </c>
    </row>
    <row r="362">
      <c r="A362">
        <f>IF(Stops!A314="","",Stops!A314)</f>
        <v/>
      </c>
      <c r="B362">
        <f>IF(E362="","",IF(E362&lt;=0,"het einde ligt voor het begin",IF(E362&lt;60,"venster korter dan een uur","")))</f>
        <v/>
      </c>
      <c r="D362">
        <f>IF(A362="","",314)</f>
        <v/>
      </c>
      <c r="E362">
        <f>IF(OR(Stops!A314="",Stops!E314="",Stops!F314=""),"",ROUND((Stops!F314-Stops!E314)*1440,0))</f>
        <v/>
      </c>
    </row>
    <row r="363">
      <c r="A363">
        <f>IF(Stops!A315="","",Stops!A315)</f>
        <v/>
      </c>
      <c r="B363">
        <f>IF(E363="","",IF(E363&lt;=0,"het einde ligt voor het begin",IF(E363&lt;60,"venster korter dan een uur","")))</f>
        <v/>
      </c>
      <c r="D363">
        <f>IF(A363="","",315)</f>
        <v/>
      </c>
      <c r="E363">
        <f>IF(OR(Stops!A315="",Stops!E315="",Stops!F315=""),"",ROUND((Stops!F315-Stops!E315)*1440,0))</f>
        <v/>
      </c>
    </row>
    <row r="364">
      <c r="A364">
        <f>IF(Stops!A316="","",Stops!A316)</f>
        <v/>
      </c>
      <c r="B364">
        <f>IF(E364="","",IF(E364&lt;=0,"het einde ligt voor het begin",IF(E364&lt;60,"venster korter dan een uur","")))</f>
        <v/>
      </c>
      <c r="D364">
        <f>IF(A364="","",316)</f>
        <v/>
      </c>
      <c r="E364">
        <f>IF(OR(Stops!A316="",Stops!E316="",Stops!F316=""),"",ROUND((Stops!F316-Stops!E316)*1440,0))</f>
        <v/>
      </c>
    </row>
    <row r="365">
      <c r="A365">
        <f>IF(Stops!A317="","",Stops!A317)</f>
        <v/>
      </c>
      <c r="B365">
        <f>IF(E365="","",IF(E365&lt;=0,"het einde ligt voor het begin",IF(E365&lt;60,"venster korter dan een uur","")))</f>
        <v/>
      </c>
      <c r="D365">
        <f>IF(A365="","",317)</f>
        <v/>
      </c>
      <c r="E365">
        <f>IF(OR(Stops!A317="",Stops!E317="",Stops!F317=""),"",ROUND((Stops!F317-Stops!E317)*1440,0))</f>
        <v/>
      </c>
    </row>
    <row r="366">
      <c r="A366">
        <f>IF(Stops!A318="","",Stops!A318)</f>
        <v/>
      </c>
      <c r="B366">
        <f>IF(E366="","",IF(E366&lt;=0,"het einde ligt voor het begin",IF(E366&lt;60,"venster korter dan een uur","")))</f>
        <v/>
      </c>
      <c r="D366">
        <f>IF(A366="","",318)</f>
        <v/>
      </c>
      <c r="E366">
        <f>IF(OR(Stops!A318="",Stops!E318="",Stops!F318=""),"",ROUND((Stops!F318-Stops!E318)*1440,0))</f>
        <v/>
      </c>
    </row>
    <row r="367">
      <c r="A367">
        <f>IF(Stops!A319="","",Stops!A319)</f>
        <v/>
      </c>
      <c r="B367">
        <f>IF(E367="","",IF(E367&lt;=0,"het einde ligt voor het begin",IF(E367&lt;60,"venster korter dan een uur","")))</f>
        <v/>
      </c>
      <c r="D367">
        <f>IF(A367="","",319)</f>
        <v/>
      </c>
      <c r="E367">
        <f>IF(OR(Stops!A319="",Stops!E319="",Stops!F319=""),"",ROUND((Stops!F319-Stops!E319)*1440,0))</f>
        <v/>
      </c>
    </row>
    <row r="368">
      <c r="A368">
        <f>IF(Stops!A320="","",Stops!A320)</f>
        <v/>
      </c>
      <c r="B368">
        <f>IF(E368="","",IF(E368&lt;=0,"het einde ligt voor het begin",IF(E368&lt;60,"venster korter dan een uur","")))</f>
        <v/>
      </c>
      <c r="D368">
        <f>IF(A368="","",320)</f>
        <v/>
      </c>
      <c r="E368">
        <f>IF(OR(Stops!A320="",Stops!E320="",Stops!F320=""),"",ROUND((Stops!F320-Stops!E320)*1440,0))</f>
        <v/>
      </c>
    </row>
    <row r="369">
      <c r="A369">
        <f>IF(Stops!A321="","",Stops!A321)</f>
        <v/>
      </c>
      <c r="B369">
        <f>IF(E369="","",IF(E369&lt;=0,"het einde ligt voor het begin",IF(E369&lt;60,"venster korter dan een uur","")))</f>
        <v/>
      </c>
      <c r="D369">
        <f>IF(A369="","",321)</f>
        <v/>
      </c>
      <c r="E369">
        <f>IF(OR(Stops!A321="",Stops!E321="",Stops!F321=""),"",ROUND((Stops!F321-Stops!E321)*1440,0))</f>
        <v/>
      </c>
    </row>
    <row r="370">
      <c r="A370">
        <f>IF(Stops!A322="","",Stops!A322)</f>
        <v/>
      </c>
      <c r="B370">
        <f>IF(E370="","",IF(E370&lt;=0,"het einde ligt voor het begin",IF(E370&lt;60,"venster korter dan een uur","")))</f>
        <v/>
      </c>
      <c r="D370">
        <f>IF(A370="","",322)</f>
        <v/>
      </c>
      <c r="E370">
        <f>IF(OR(Stops!A322="",Stops!E322="",Stops!F322=""),"",ROUND((Stops!F322-Stops!E322)*1440,0))</f>
        <v/>
      </c>
    </row>
    <row r="371">
      <c r="A371">
        <f>IF(Stops!A323="","",Stops!A323)</f>
        <v/>
      </c>
      <c r="B371">
        <f>IF(E371="","",IF(E371&lt;=0,"het einde ligt voor het begin",IF(E371&lt;60,"venster korter dan een uur","")))</f>
        <v/>
      </c>
      <c r="D371">
        <f>IF(A371="","",323)</f>
        <v/>
      </c>
      <c r="E371">
        <f>IF(OR(Stops!A323="",Stops!E323="",Stops!F323=""),"",ROUND((Stops!F323-Stops!E323)*1440,0))</f>
        <v/>
      </c>
    </row>
    <row r="372">
      <c r="A372">
        <f>IF(Stops!A324="","",Stops!A324)</f>
        <v/>
      </c>
      <c r="B372">
        <f>IF(E372="","",IF(E372&lt;=0,"het einde ligt voor het begin",IF(E372&lt;60,"venster korter dan een uur","")))</f>
        <v/>
      </c>
      <c r="D372">
        <f>IF(A372="","",324)</f>
        <v/>
      </c>
      <c r="E372">
        <f>IF(OR(Stops!A324="",Stops!E324="",Stops!F324=""),"",ROUND((Stops!F324-Stops!E324)*1440,0))</f>
        <v/>
      </c>
    </row>
    <row r="373">
      <c r="A373">
        <f>IF(Stops!A325="","",Stops!A325)</f>
        <v/>
      </c>
      <c r="B373">
        <f>IF(E373="","",IF(E373&lt;=0,"het einde ligt voor het begin",IF(E373&lt;60,"venster korter dan een uur","")))</f>
        <v/>
      </c>
      <c r="D373">
        <f>IF(A373="","",325)</f>
        <v/>
      </c>
      <c r="E373">
        <f>IF(OR(Stops!A325="",Stops!E325="",Stops!F325=""),"",ROUND((Stops!F325-Stops!E325)*1440,0))</f>
        <v/>
      </c>
    </row>
    <row r="374">
      <c r="A374">
        <f>IF(Stops!A326="","",Stops!A326)</f>
        <v/>
      </c>
      <c r="B374">
        <f>IF(E374="","",IF(E374&lt;=0,"het einde ligt voor het begin",IF(E374&lt;60,"venster korter dan een uur","")))</f>
        <v/>
      </c>
      <c r="D374">
        <f>IF(A374="","",326)</f>
        <v/>
      </c>
      <c r="E374">
        <f>IF(OR(Stops!A326="",Stops!E326="",Stops!F326=""),"",ROUND((Stops!F326-Stops!E326)*1440,0))</f>
        <v/>
      </c>
    </row>
    <row r="375">
      <c r="A375">
        <f>IF(Stops!A327="","",Stops!A327)</f>
        <v/>
      </c>
      <c r="B375">
        <f>IF(E375="","",IF(E375&lt;=0,"het einde ligt voor het begin",IF(E375&lt;60,"venster korter dan een uur","")))</f>
        <v/>
      </c>
      <c r="D375">
        <f>IF(A375="","",327)</f>
        <v/>
      </c>
      <c r="E375">
        <f>IF(OR(Stops!A327="",Stops!E327="",Stops!F327=""),"",ROUND((Stops!F327-Stops!E327)*1440,0))</f>
        <v/>
      </c>
    </row>
    <row r="376">
      <c r="A376">
        <f>IF(Stops!A328="","",Stops!A328)</f>
        <v/>
      </c>
      <c r="B376">
        <f>IF(E376="","",IF(E376&lt;=0,"het einde ligt voor het begin",IF(E376&lt;60,"venster korter dan een uur","")))</f>
        <v/>
      </c>
      <c r="D376">
        <f>IF(A376="","",328)</f>
        <v/>
      </c>
      <c r="E376">
        <f>IF(OR(Stops!A328="",Stops!E328="",Stops!F328=""),"",ROUND((Stops!F328-Stops!E328)*1440,0))</f>
        <v/>
      </c>
    </row>
    <row r="377">
      <c r="A377">
        <f>IF(Stops!A329="","",Stops!A329)</f>
        <v/>
      </c>
      <c r="B377">
        <f>IF(E377="","",IF(E377&lt;=0,"het einde ligt voor het begin",IF(E377&lt;60,"venster korter dan een uur","")))</f>
        <v/>
      </c>
      <c r="D377">
        <f>IF(A377="","",329)</f>
        <v/>
      </c>
      <c r="E377">
        <f>IF(OR(Stops!A329="",Stops!E329="",Stops!F329=""),"",ROUND((Stops!F329-Stops!E329)*1440,0))</f>
        <v/>
      </c>
    </row>
    <row r="378">
      <c r="A378">
        <f>IF(Stops!A330="","",Stops!A330)</f>
        <v/>
      </c>
      <c r="B378">
        <f>IF(E378="","",IF(E378&lt;=0,"het einde ligt voor het begin",IF(E378&lt;60,"venster korter dan een uur","")))</f>
        <v/>
      </c>
      <c r="D378">
        <f>IF(A378="","",330)</f>
        <v/>
      </c>
      <c r="E378">
        <f>IF(OR(Stops!A330="",Stops!E330="",Stops!F330=""),"",ROUND((Stops!F330-Stops!E330)*1440,0))</f>
        <v/>
      </c>
    </row>
    <row r="379">
      <c r="A379">
        <f>IF(Stops!A331="","",Stops!A331)</f>
        <v/>
      </c>
      <c r="B379">
        <f>IF(E379="","",IF(E379&lt;=0,"het einde ligt voor het begin",IF(E379&lt;60,"venster korter dan een uur","")))</f>
        <v/>
      </c>
      <c r="D379">
        <f>IF(A379="","",331)</f>
        <v/>
      </c>
      <c r="E379">
        <f>IF(OR(Stops!A331="",Stops!E331="",Stops!F331=""),"",ROUND((Stops!F331-Stops!E331)*1440,0))</f>
        <v/>
      </c>
    </row>
    <row r="380">
      <c r="A380">
        <f>IF(Stops!A332="","",Stops!A332)</f>
        <v/>
      </c>
      <c r="B380">
        <f>IF(E380="","",IF(E380&lt;=0,"het einde ligt voor het begin",IF(E380&lt;60,"venster korter dan een uur","")))</f>
        <v/>
      </c>
      <c r="D380">
        <f>IF(A380="","",332)</f>
        <v/>
      </c>
      <c r="E380">
        <f>IF(OR(Stops!A332="",Stops!E332="",Stops!F332=""),"",ROUND((Stops!F332-Stops!E332)*1440,0))</f>
        <v/>
      </c>
    </row>
    <row r="381">
      <c r="A381">
        <f>IF(Stops!A333="","",Stops!A333)</f>
        <v/>
      </c>
      <c r="B381">
        <f>IF(E381="","",IF(E381&lt;=0,"het einde ligt voor het begin",IF(E381&lt;60,"venster korter dan een uur","")))</f>
        <v/>
      </c>
      <c r="D381">
        <f>IF(A381="","",333)</f>
        <v/>
      </c>
      <c r="E381">
        <f>IF(OR(Stops!A333="",Stops!E333="",Stops!F333=""),"",ROUND((Stops!F333-Stops!E333)*1440,0))</f>
        <v/>
      </c>
    </row>
    <row r="382">
      <c r="A382">
        <f>IF(Stops!A334="","",Stops!A334)</f>
        <v/>
      </c>
      <c r="B382">
        <f>IF(E382="","",IF(E382&lt;=0,"het einde ligt voor het begin",IF(E382&lt;60,"venster korter dan een uur","")))</f>
        <v/>
      </c>
      <c r="D382">
        <f>IF(A382="","",334)</f>
        <v/>
      </c>
      <c r="E382">
        <f>IF(OR(Stops!A334="",Stops!E334="",Stops!F334=""),"",ROUND((Stops!F334-Stops!E334)*1440,0))</f>
        <v/>
      </c>
    </row>
    <row r="383">
      <c r="A383">
        <f>IF(Stops!A335="","",Stops!A335)</f>
        <v/>
      </c>
      <c r="B383">
        <f>IF(E383="","",IF(E383&lt;=0,"het einde ligt voor het begin",IF(E383&lt;60,"venster korter dan een uur","")))</f>
        <v/>
      </c>
      <c r="D383">
        <f>IF(A383="","",335)</f>
        <v/>
      </c>
      <c r="E383">
        <f>IF(OR(Stops!A335="",Stops!E335="",Stops!F335=""),"",ROUND((Stops!F335-Stops!E335)*1440,0))</f>
        <v/>
      </c>
    </row>
    <row r="384">
      <c r="A384">
        <f>IF(Stops!A336="","",Stops!A336)</f>
        <v/>
      </c>
      <c r="B384">
        <f>IF(E384="","",IF(E384&lt;=0,"het einde ligt voor het begin",IF(E384&lt;60,"venster korter dan een uur","")))</f>
        <v/>
      </c>
      <c r="D384">
        <f>IF(A384="","",336)</f>
        <v/>
      </c>
      <c r="E384">
        <f>IF(OR(Stops!A336="",Stops!E336="",Stops!F336=""),"",ROUND((Stops!F336-Stops!E336)*1440,0))</f>
        <v/>
      </c>
    </row>
    <row r="385">
      <c r="A385">
        <f>IF(Stops!A337="","",Stops!A337)</f>
        <v/>
      </c>
      <c r="B385">
        <f>IF(E385="","",IF(E385&lt;=0,"het einde ligt voor het begin",IF(E385&lt;60,"venster korter dan een uur","")))</f>
        <v/>
      </c>
      <c r="D385">
        <f>IF(A385="","",337)</f>
        <v/>
      </c>
      <c r="E385">
        <f>IF(OR(Stops!A337="",Stops!E337="",Stops!F337=""),"",ROUND((Stops!F337-Stops!E337)*1440,0))</f>
        <v/>
      </c>
    </row>
    <row r="386">
      <c r="A386">
        <f>IF(Stops!A338="","",Stops!A338)</f>
        <v/>
      </c>
      <c r="B386">
        <f>IF(E386="","",IF(E386&lt;=0,"het einde ligt voor het begin",IF(E386&lt;60,"venster korter dan een uur","")))</f>
        <v/>
      </c>
      <c r="D386">
        <f>IF(A386="","",338)</f>
        <v/>
      </c>
      <c r="E386">
        <f>IF(OR(Stops!A338="",Stops!E338="",Stops!F338=""),"",ROUND((Stops!F338-Stops!E338)*1440,0))</f>
        <v/>
      </c>
    </row>
    <row r="387">
      <c r="A387">
        <f>IF(Stops!A339="","",Stops!A339)</f>
        <v/>
      </c>
      <c r="B387">
        <f>IF(E387="","",IF(E387&lt;=0,"het einde ligt voor het begin",IF(E387&lt;60,"venster korter dan een uur","")))</f>
        <v/>
      </c>
      <c r="D387">
        <f>IF(A387="","",339)</f>
        <v/>
      </c>
      <c r="E387">
        <f>IF(OR(Stops!A339="",Stops!E339="",Stops!F339=""),"",ROUND((Stops!F339-Stops!E339)*1440,0))</f>
        <v/>
      </c>
    </row>
    <row r="388">
      <c r="A388">
        <f>IF(Stops!A340="","",Stops!A340)</f>
        <v/>
      </c>
      <c r="B388">
        <f>IF(E388="","",IF(E388&lt;=0,"het einde ligt voor het begin",IF(E388&lt;60,"venster korter dan een uur","")))</f>
        <v/>
      </c>
      <c r="D388">
        <f>IF(A388="","",340)</f>
        <v/>
      </c>
      <c r="E388">
        <f>IF(OR(Stops!A340="",Stops!E340="",Stops!F340=""),"",ROUND((Stops!F340-Stops!E340)*1440,0))</f>
        <v/>
      </c>
    </row>
    <row r="389">
      <c r="A389">
        <f>IF(Stops!A341="","",Stops!A341)</f>
        <v/>
      </c>
      <c r="B389">
        <f>IF(E389="","",IF(E389&lt;=0,"het einde ligt voor het begin",IF(E389&lt;60,"venster korter dan een uur","")))</f>
        <v/>
      </c>
      <c r="D389">
        <f>IF(A389="","",341)</f>
        <v/>
      </c>
      <c r="E389">
        <f>IF(OR(Stops!A341="",Stops!E341="",Stops!F341=""),"",ROUND((Stops!F341-Stops!E341)*1440,0))</f>
        <v/>
      </c>
    </row>
    <row r="390">
      <c r="A390">
        <f>IF(Stops!A342="","",Stops!A342)</f>
        <v/>
      </c>
      <c r="B390">
        <f>IF(E390="","",IF(E390&lt;=0,"het einde ligt voor het begin",IF(E390&lt;60,"venster korter dan een uur","")))</f>
        <v/>
      </c>
      <c r="D390">
        <f>IF(A390="","",342)</f>
        <v/>
      </c>
      <c r="E390">
        <f>IF(OR(Stops!A342="",Stops!E342="",Stops!F342=""),"",ROUND((Stops!F342-Stops!E342)*1440,0))</f>
        <v/>
      </c>
    </row>
    <row r="391">
      <c r="A391">
        <f>IF(Stops!A343="","",Stops!A343)</f>
        <v/>
      </c>
      <c r="B391">
        <f>IF(E391="","",IF(E391&lt;=0,"het einde ligt voor het begin",IF(E391&lt;60,"venster korter dan een uur","")))</f>
        <v/>
      </c>
      <c r="D391">
        <f>IF(A391="","",343)</f>
        <v/>
      </c>
      <c r="E391">
        <f>IF(OR(Stops!A343="",Stops!E343="",Stops!F343=""),"",ROUND((Stops!F343-Stops!E343)*1440,0))</f>
        <v/>
      </c>
    </row>
    <row r="392">
      <c r="A392">
        <f>IF(Stops!A344="","",Stops!A344)</f>
        <v/>
      </c>
      <c r="B392">
        <f>IF(E392="","",IF(E392&lt;=0,"het einde ligt voor het begin",IF(E392&lt;60,"venster korter dan een uur","")))</f>
        <v/>
      </c>
      <c r="D392">
        <f>IF(A392="","",344)</f>
        <v/>
      </c>
      <c r="E392">
        <f>IF(OR(Stops!A344="",Stops!E344="",Stops!F344=""),"",ROUND((Stops!F344-Stops!E344)*1440,0))</f>
        <v/>
      </c>
    </row>
    <row r="393">
      <c r="A393">
        <f>IF(Stops!A345="","",Stops!A345)</f>
        <v/>
      </c>
      <c r="B393">
        <f>IF(E393="","",IF(E393&lt;=0,"het einde ligt voor het begin",IF(E393&lt;60,"venster korter dan een uur","")))</f>
        <v/>
      </c>
      <c r="D393">
        <f>IF(A393="","",345)</f>
        <v/>
      </c>
      <c r="E393">
        <f>IF(OR(Stops!A345="",Stops!E345="",Stops!F345=""),"",ROUND((Stops!F345-Stops!E345)*1440,0))</f>
        <v/>
      </c>
    </row>
    <row r="394">
      <c r="A394">
        <f>IF(Stops!A346="","",Stops!A346)</f>
        <v/>
      </c>
      <c r="B394">
        <f>IF(E394="","",IF(E394&lt;=0,"het einde ligt voor het begin",IF(E394&lt;60,"venster korter dan een uur","")))</f>
        <v/>
      </c>
      <c r="D394">
        <f>IF(A394="","",346)</f>
        <v/>
      </c>
      <c r="E394">
        <f>IF(OR(Stops!A346="",Stops!E346="",Stops!F346=""),"",ROUND((Stops!F346-Stops!E346)*1440,0))</f>
        <v/>
      </c>
    </row>
    <row r="395">
      <c r="A395">
        <f>IF(Stops!A347="","",Stops!A347)</f>
        <v/>
      </c>
      <c r="B395">
        <f>IF(E395="","",IF(E395&lt;=0,"het einde ligt voor het begin",IF(E395&lt;60,"venster korter dan een uur","")))</f>
        <v/>
      </c>
      <c r="D395">
        <f>IF(A395="","",347)</f>
        <v/>
      </c>
      <c r="E395">
        <f>IF(OR(Stops!A347="",Stops!E347="",Stops!F347=""),"",ROUND((Stops!F347-Stops!E347)*1440,0))</f>
        <v/>
      </c>
    </row>
    <row r="396">
      <c r="A396">
        <f>IF(Stops!A348="","",Stops!A348)</f>
        <v/>
      </c>
      <c r="B396">
        <f>IF(E396="","",IF(E396&lt;=0,"het einde ligt voor het begin",IF(E396&lt;60,"venster korter dan een uur","")))</f>
        <v/>
      </c>
      <c r="D396">
        <f>IF(A396="","",348)</f>
        <v/>
      </c>
      <c r="E396">
        <f>IF(OR(Stops!A348="",Stops!E348="",Stops!F348=""),"",ROUND((Stops!F348-Stops!E348)*1440,0))</f>
        <v/>
      </c>
    </row>
    <row r="397">
      <c r="A397">
        <f>IF(Stops!A349="","",Stops!A349)</f>
        <v/>
      </c>
      <c r="B397">
        <f>IF(E397="","",IF(E397&lt;=0,"het einde ligt voor het begin",IF(E397&lt;60,"venster korter dan een uur","")))</f>
        <v/>
      </c>
      <c r="D397">
        <f>IF(A397="","",349)</f>
        <v/>
      </c>
      <c r="E397">
        <f>IF(OR(Stops!A349="",Stops!E349="",Stops!F349=""),"",ROUND((Stops!F349-Stops!E349)*1440,0))</f>
        <v/>
      </c>
    </row>
    <row r="398">
      <c r="A398">
        <f>IF(Stops!A350="","",Stops!A350)</f>
        <v/>
      </c>
      <c r="B398">
        <f>IF(E398="","",IF(E398&lt;=0,"het einde ligt voor het begin",IF(E398&lt;60,"venster korter dan een uur","")))</f>
        <v/>
      </c>
      <c r="D398">
        <f>IF(A398="","",350)</f>
        <v/>
      </c>
      <c r="E398">
        <f>IF(OR(Stops!A350="",Stops!E350="",Stops!F350=""),"",ROUND((Stops!F350-Stops!E350)*1440,0))</f>
        <v/>
      </c>
    </row>
    <row r="399">
      <c r="A399">
        <f>IF(Stops!A351="","",Stops!A351)</f>
        <v/>
      </c>
      <c r="B399">
        <f>IF(E399="","",IF(E399&lt;=0,"het einde ligt voor het begin",IF(E399&lt;60,"venster korter dan een uur","")))</f>
        <v/>
      </c>
      <c r="D399">
        <f>IF(A399="","",351)</f>
        <v/>
      </c>
      <c r="E399">
        <f>IF(OR(Stops!A351="",Stops!E351="",Stops!F351=""),"",ROUND((Stops!F351-Stops!E351)*1440,0))</f>
        <v/>
      </c>
    </row>
    <row r="400">
      <c r="A400">
        <f>IF(Stops!A352="","",Stops!A352)</f>
        <v/>
      </c>
      <c r="B400">
        <f>IF(E400="","",IF(E400&lt;=0,"het einde ligt voor het begin",IF(E400&lt;60,"venster korter dan een uur","")))</f>
        <v/>
      </c>
      <c r="D400">
        <f>IF(A400="","",352)</f>
        <v/>
      </c>
      <c r="E400">
        <f>IF(OR(Stops!A352="",Stops!E352="",Stops!F352=""),"",ROUND((Stops!F352-Stops!E352)*1440,0))</f>
        <v/>
      </c>
    </row>
    <row r="401">
      <c r="A401">
        <f>IF(Stops!A353="","",Stops!A353)</f>
        <v/>
      </c>
      <c r="B401">
        <f>IF(E401="","",IF(E401&lt;=0,"het einde ligt voor het begin",IF(E401&lt;60,"venster korter dan een uur","")))</f>
        <v/>
      </c>
      <c r="D401">
        <f>IF(A401="","",353)</f>
        <v/>
      </c>
      <c r="E401">
        <f>IF(OR(Stops!A353="",Stops!E353="",Stops!F353=""),"",ROUND((Stops!F353-Stops!E353)*1440,0))</f>
        <v/>
      </c>
    </row>
    <row r="402">
      <c r="A402">
        <f>IF(Stops!A354="","",Stops!A354)</f>
        <v/>
      </c>
      <c r="B402">
        <f>IF(E402="","",IF(E402&lt;=0,"het einde ligt voor het begin",IF(E402&lt;60,"venster korter dan een uur","")))</f>
        <v/>
      </c>
      <c r="D402">
        <f>IF(A402="","",354)</f>
        <v/>
      </c>
      <c r="E402">
        <f>IF(OR(Stops!A354="",Stops!E354="",Stops!F354=""),"",ROUND((Stops!F354-Stops!E354)*1440,0))</f>
        <v/>
      </c>
    </row>
    <row r="403">
      <c r="A403">
        <f>IF(Stops!A355="","",Stops!A355)</f>
        <v/>
      </c>
      <c r="B403">
        <f>IF(E403="","",IF(E403&lt;=0,"het einde ligt voor het begin",IF(E403&lt;60,"venster korter dan een uur","")))</f>
        <v/>
      </c>
      <c r="D403">
        <f>IF(A403="","",355)</f>
        <v/>
      </c>
      <c r="E403">
        <f>IF(OR(Stops!A355="",Stops!E355="",Stops!F355=""),"",ROUND((Stops!F355-Stops!E355)*1440,0))</f>
        <v/>
      </c>
    </row>
    <row r="404">
      <c r="A404">
        <f>IF(Stops!A356="","",Stops!A356)</f>
        <v/>
      </c>
      <c r="B404">
        <f>IF(E404="","",IF(E404&lt;=0,"het einde ligt voor het begin",IF(E404&lt;60,"venster korter dan een uur","")))</f>
        <v/>
      </c>
      <c r="D404">
        <f>IF(A404="","",356)</f>
        <v/>
      </c>
      <c r="E404">
        <f>IF(OR(Stops!A356="",Stops!E356="",Stops!F356=""),"",ROUND((Stops!F356-Stops!E356)*1440,0))</f>
        <v/>
      </c>
    </row>
    <row r="405">
      <c r="A405">
        <f>IF(Stops!A357="","",Stops!A357)</f>
        <v/>
      </c>
      <c r="B405">
        <f>IF(E405="","",IF(E405&lt;=0,"het einde ligt voor het begin",IF(E405&lt;60,"venster korter dan een uur","")))</f>
        <v/>
      </c>
      <c r="D405">
        <f>IF(A405="","",357)</f>
        <v/>
      </c>
      <c r="E405">
        <f>IF(OR(Stops!A357="",Stops!E357="",Stops!F357=""),"",ROUND((Stops!F357-Stops!E357)*1440,0))</f>
        <v/>
      </c>
    </row>
    <row r="406">
      <c r="A406">
        <f>IF(Stops!A358="","",Stops!A358)</f>
        <v/>
      </c>
      <c r="B406">
        <f>IF(E406="","",IF(E406&lt;=0,"het einde ligt voor het begin",IF(E406&lt;60,"venster korter dan een uur","")))</f>
        <v/>
      </c>
      <c r="D406">
        <f>IF(A406="","",358)</f>
        <v/>
      </c>
      <c r="E406">
        <f>IF(OR(Stops!A358="",Stops!E358="",Stops!F358=""),"",ROUND((Stops!F358-Stops!E358)*1440,0))</f>
        <v/>
      </c>
    </row>
    <row r="407">
      <c r="A407">
        <f>IF(Stops!A359="","",Stops!A359)</f>
        <v/>
      </c>
      <c r="B407">
        <f>IF(E407="","",IF(E407&lt;=0,"het einde ligt voor het begin",IF(E407&lt;60,"venster korter dan een uur","")))</f>
        <v/>
      </c>
      <c r="D407">
        <f>IF(A407="","",359)</f>
        <v/>
      </c>
      <c r="E407">
        <f>IF(OR(Stops!A359="",Stops!E359="",Stops!F359=""),"",ROUND((Stops!F359-Stops!E359)*1440,0))</f>
        <v/>
      </c>
    </row>
    <row r="408">
      <c r="A408">
        <f>IF(Stops!A360="","",Stops!A360)</f>
        <v/>
      </c>
      <c r="B408">
        <f>IF(E408="","",IF(E408&lt;=0,"het einde ligt voor het begin",IF(E408&lt;60,"venster korter dan een uur","")))</f>
        <v/>
      </c>
      <c r="D408">
        <f>IF(A408="","",360)</f>
        <v/>
      </c>
      <c r="E408">
        <f>IF(OR(Stops!A360="",Stops!E360="",Stops!F360=""),"",ROUND((Stops!F360-Stops!E360)*1440,0))</f>
        <v/>
      </c>
    </row>
    <row r="409">
      <c r="A409">
        <f>IF(Stops!A361="","",Stops!A361)</f>
        <v/>
      </c>
      <c r="B409">
        <f>IF(E409="","",IF(E409&lt;=0,"het einde ligt voor het begin",IF(E409&lt;60,"venster korter dan een uur","")))</f>
        <v/>
      </c>
      <c r="D409">
        <f>IF(A409="","",361)</f>
        <v/>
      </c>
      <c r="E409">
        <f>IF(OR(Stops!A361="",Stops!E361="",Stops!F361=""),"",ROUND((Stops!F361-Stops!E361)*1440,0))</f>
        <v/>
      </c>
    </row>
    <row r="410">
      <c r="A410">
        <f>IF(Stops!A362="","",Stops!A362)</f>
        <v/>
      </c>
      <c r="B410">
        <f>IF(E410="","",IF(E410&lt;=0,"het einde ligt voor het begin",IF(E410&lt;60,"venster korter dan een uur","")))</f>
        <v/>
      </c>
      <c r="D410">
        <f>IF(A410="","",362)</f>
        <v/>
      </c>
      <c r="E410">
        <f>IF(OR(Stops!A362="",Stops!E362="",Stops!F362=""),"",ROUND((Stops!F362-Stops!E362)*1440,0))</f>
        <v/>
      </c>
    </row>
    <row r="411">
      <c r="A411">
        <f>IF(Stops!A363="","",Stops!A363)</f>
        <v/>
      </c>
      <c r="B411">
        <f>IF(E411="","",IF(E411&lt;=0,"het einde ligt voor het begin",IF(E411&lt;60,"venster korter dan een uur","")))</f>
        <v/>
      </c>
      <c r="D411">
        <f>IF(A411="","",363)</f>
        <v/>
      </c>
      <c r="E411">
        <f>IF(OR(Stops!A363="",Stops!E363="",Stops!F363=""),"",ROUND((Stops!F363-Stops!E363)*1440,0))</f>
        <v/>
      </c>
    </row>
    <row r="412">
      <c r="A412">
        <f>IF(Stops!A364="","",Stops!A364)</f>
        <v/>
      </c>
      <c r="B412">
        <f>IF(E412="","",IF(E412&lt;=0,"het einde ligt voor het begin",IF(E412&lt;60,"venster korter dan een uur","")))</f>
        <v/>
      </c>
      <c r="D412">
        <f>IF(A412="","",364)</f>
        <v/>
      </c>
      <c r="E412">
        <f>IF(OR(Stops!A364="",Stops!E364="",Stops!F364=""),"",ROUND((Stops!F364-Stops!E364)*1440,0))</f>
        <v/>
      </c>
    </row>
    <row r="413">
      <c r="A413">
        <f>IF(Stops!A365="","",Stops!A365)</f>
        <v/>
      </c>
      <c r="B413">
        <f>IF(E413="","",IF(E413&lt;=0,"het einde ligt voor het begin",IF(E413&lt;60,"venster korter dan een uur","")))</f>
        <v/>
      </c>
      <c r="D413">
        <f>IF(A413="","",365)</f>
        <v/>
      </c>
      <c r="E413">
        <f>IF(OR(Stops!A365="",Stops!E365="",Stops!F365=""),"",ROUND((Stops!F365-Stops!E365)*1440,0))</f>
        <v/>
      </c>
    </row>
    <row r="414">
      <c r="A414">
        <f>IF(Stops!A366="","",Stops!A366)</f>
        <v/>
      </c>
      <c r="B414">
        <f>IF(E414="","",IF(E414&lt;=0,"het einde ligt voor het begin",IF(E414&lt;60,"venster korter dan een uur","")))</f>
        <v/>
      </c>
      <c r="D414">
        <f>IF(A414="","",366)</f>
        <v/>
      </c>
      <c r="E414">
        <f>IF(OR(Stops!A366="",Stops!E366="",Stops!F366=""),"",ROUND((Stops!F366-Stops!E366)*1440,0))</f>
        <v/>
      </c>
    </row>
    <row r="415">
      <c r="A415">
        <f>IF(Stops!A367="","",Stops!A367)</f>
        <v/>
      </c>
      <c r="B415">
        <f>IF(E415="","",IF(E415&lt;=0,"het einde ligt voor het begin",IF(E415&lt;60,"venster korter dan een uur","")))</f>
        <v/>
      </c>
      <c r="D415">
        <f>IF(A415="","",367)</f>
        <v/>
      </c>
      <c r="E415">
        <f>IF(OR(Stops!A367="",Stops!E367="",Stops!F367=""),"",ROUND((Stops!F367-Stops!E367)*1440,0))</f>
        <v/>
      </c>
    </row>
    <row r="416">
      <c r="A416">
        <f>IF(Stops!A368="","",Stops!A368)</f>
        <v/>
      </c>
      <c r="B416">
        <f>IF(E416="","",IF(E416&lt;=0,"het einde ligt voor het begin",IF(E416&lt;60,"venster korter dan een uur","")))</f>
        <v/>
      </c>
      <c r="D416">
        <f>IF(A416="","",368)</f>
        <v/>
      </c>
      <c r="E416">
        <f>IF(OR(Stops!A368="",Stops!E368="",Stops!F368=""),"",ROUND((Stops!F368-Stops!E368)*1440,0))</f>
        <v/>
      </c>
    </row>
    <row r="417">
      <c r="A417">
        <f>IF(Stops!A369="","",Stops!A369)</f>
        <v/>
      </c>
      <c r="B417">
        <f>IF(E417="","",IF(E417&lt;=0,"het einde ligt voor het begin",IF(E417&lt;60,"venster korter dan een uur","")))</f>
        <v/>
      </c>
      <c r="D417">
        <f>IF(A417="","",369)</f>
        <v/>
      </c>
      <c r="E417">
        <f>IF(OR(Stops!A369="",Stops!E369="",Stops!F369=""),"",ROUND((Stops!F369-Stops!E369)*1440,0))</f>
        <v/>
      </c>
    </row>
    <row r="418">
      <c r="A418">
        <f>IF(Stops!A370="","",Stops!A370)</f>
        <v/>
      </c>
      <c r="B418">
        <f>IF(E418="","",IF(E418&lt;=0,"het einde ligt voor het begin",IF(E418&lt;60,"venster korter dan een uur","")))</f>
        <v/>
      </c>
      <c r="D418">
        <f>IF(A418="","",370)</f>
        <v/>
      </c>
      <c r="E418">
        <f>IF(OR(Stops!A370="",Stops!E370="",Stops!F370=""),"",ROUND((Stops!F370-Stops!E370)*1440,0))</f>
        <v/>
      </c>
    </row>
    <row r="419">
      <c r="A419">
        <f>IF(Stops!A371="","",Stops!A371)</f>
        <v/>
      </c>
      <c r="B419">
        <f>IF(E419="","",IF(E419&lt;=0,"het einde ligt voor het begin",IF(E419&lt;60,"venster korter dan een uur","")))</f>
        <v/>
      </c>
      <c r="D419">
        <f>IF(A419="","",371)</f>
        <v/>
      </c>
      <c r="E419">
        <f>IF(OR(Stops!A371="",Stops!E371="",Stops!F371=""),"",ROUND((Stops!F371-Stops!E371)*1440,0))</f>
        <v/>
      </c>
    </row>
    <row r="420">
      <c r="A420">
        <f>IF(Stops!A372="","",Stops!A372)</f>
        <v/>
      </c>
      <c r="B420">
        <f>IF(E420="","",IF(E420&lt;=0,"het einde ligt voor het begin",IF(E420&lt;60,"venster korter dan een uur","")))</f>
        <v/>
      </c>
      <c r="D420">
        <f>IF(A420="","",372)</f>
        <v/>
      </c>
      <c r="E420">
        <f>IF(OR(Stops!A372="",Stops!E372="",Stops!F372=""),"",ROUND((Stops!F372-Stops!E372)*1440,0))</f>
        <v/>
      </c>
    </row>
    <row r="421">
      <c r="A421">
        <f>IF(Stops!A373="","",Stops!A373)</f>
        <v/>
      </c>
      <c r="B421">
        <f>IF(E421="","",IF(E421&lt;=0,"het einde ligt voor het begin",IF(E421&lt;60,"venster korter dan een uur","")))</f>
        <v/>
      </c>
      <c r="D421">
        <f>IF(A421="","",373)</f>
        <v/>
      </c>
      <c r="E421">
        <f>IF(OR(Stops!A373="",Stops!E373="",Stops!F373=""),"",ROUND((Stops!F373-Stops!E373)*1440,0))</f>
        <v/>
      </c>
    </row>
    <row r="422">
      <c r="A422">
        <f>IF(Stops!A374="","",Stops!A374)</f>
        <v/>
      </c>
      <c r="B422">
        <f>IF(E422="","",IF(E422&lt;=0,"het einde ligt voor het begin",IF(E422&lt;60,"venster korter dan een uur","")))</f>
        <v/>
      </c>
      <c r="D422">
        <f>IF(A422="","",374)</f>
        <v/>
      </c>
      <c r="E422">
        <f>IF(OR(Stops!A374="",Stops!E374="",Stops!F374=""),"",ROUND((Stops!F374-Stops!E374)*1440,0))</f>
        <v/>
      </c>
    </row>
    <row r="423">
      <c r="A423">
        <f>IF(Stops!A375="","",Stops!A375)</f>
        <v/>
      </c>
      <c r="B423">
        <f>IF(E423="","",IF(E423&lt;=0,"het einde ligt voor het begin",IF(E423&lt;60,"venster korter dan een uur","")))</f>
        <v/>
      </c>
      <c r="D423">
        <f>IF(A423="","",375)</f>
        <v/>
      </c>
      <c r="E423">
        <f>IF(OR(Stops!A375="",Stops!E375="",Stops!F375=""),"",ROUND((Stops!F375-Stops!E375)*1440,0))</f>
        <v/>
      </c>
    </row>
    <row r="424">
      <c r="A424">
        <f>IF(Stops!A376="","",Stops!A376)</f>
        <v/>
      </c>
      <c r="B424">
        <f>IF(E424="","",IF(E424&lt;=0,"het einde ligt voor het begin",IF(E424&lt;60,"venster korter dan een uur","")))</f>
        <v/>
      </c>
      <c r="D424">
        <f>IF(A424="","",376)</f>
        <v/>
      </c>
      <c r="E424">
        <f>IF(OR(Stops!A376="",Stops!E376="",Stops!F376=""),"",ROUND((Stops!F376-Stops!E376)*1440,0))</f>
        <v/>
      </c>
    </row>
    <row r="425">
      <c r="A425">
        <f>IF(Stops!A377="","",Stops!A377)</f>
        <v/>
      </c>
      <c r="B425">
        <f>IF(E425="","",IF(E425&lt;=0,"het einde ligt voor het begin",IF(E425&lt;60,"venster korter dan een uur","")))</f>
        <v/>
      </c>
      <c r="D425">
        <f>IF(A425="","",377)</f>
        <v/>
      </c>
      <c r="E425">
        <f>IF(OR(Stops!A377="",Stops!E377="",Stops!F377=""),"",ROUND((Stops!F377-Stops!E377)*1440,0))</f>
        <v/>
      </c>
    </row>
    <row r="426">
      <c r="A426">
        <f>IF(Stops!A378="","",Stops!A378)</f>
        <v/>
      </c>
      <c r="B426">
        <f>IF(E426="","",IF(E426&lt;=0,"het einde ligt voor het begin",IF(E426&lt;60,"venster korter dan een uur","")))</f>
        <v/>
      </c>
      <c r="D426">
        <f>IF(A426="","",378)</f>
        <v/>
      </c>
      <c r="E426">
        <f>IF(OR(Stops!A378="",Stops!E378="",Stops!F378=""),"",ROUND((Stops!F378-Stops!E378)*1440,0))</f>
        <v/>
      </c>
    </row>
    <row r="427">
      <c r="A427">
        <f>IF(Stops!A379="","",Stops!A379)</f>
        <v/>
      </c>
      <c r="B427">
        <f>IF(E427="","",IF(E427&lt;=0,"het einde ligt voor het begin",IF(E427&lt;60,"venster korter dan een uur","")))</f>
        <v/>
      </c>
      <c r="D427">
        <f>IF(A427="","",379)</f>
        <v/>
      </c>
      <c r="E427">
        <f>IF(OR(Stops!A379="",Stops!E379="",Stops!F379=""),"",ROUND((Stops!F379-Stops!E379)*1440,0))</f>
        <v/>
      </c>
    </row>
    <row r="428">
      <c r="A428">
        <f>IF(Stops!A380="","",Stops!A380)</f>
        <v/>
      </c>
      <c r="B428">
        <f>IF(E428="","",IF(E428&lt;=0,"het einde ligt voor het begin",IF(E428&lt;60,"venster korter dan een uur","")))</f>
        <v/>
      </c>
      <c r="D428">
        <f>IF(A428="","",380)</f>
        <v/>
      </c>
      <c r="E428">
        <f>IF(OR(Stops!A380="",Stops!E380="",Stops!F380=""),"",ROUND((Stops!F380-Stops!E380)*1440,0))</f>
        <v/>
      </c>
    </row>
    <row r="429">
      <c r="A429">
        <f>IF(Stops!A381="","",Stops!A381)</f>
        <v/>
      </c>
      <c r="B429">
        <f>IF(E429="","",IF(E429&lt;=0,"het einde ligt voor het begin",IF(E429&lt;60,"venster korter dan een uur","")))</f>
        <v/>
      </c>
      <c r="D429">
        <f>IF(A429="","",381)</f>
        <v/>
      </c>
      <c r="E429">
        <f>IF(OR(Stops!A381="",Stops!E381="",Stops!F381=""),"",ROUND((Stops!F381-Stops!E381)*1440,0))</f>
        <v/>
      </c>
    </row>
    <row r="430">
      <c r="A430">
        <f>IF(Stops!A382="","",Stops!A382)</f>
        <v/>
      </c>
      <c r="B430">
        <f>IF(E430="","",IF(E430&lt;=0,"het einde ligt voor het begin",IF(E430&lt;60,"venster korter dan een uur","")))</f>
        <v/>
      </c>
      <c r="D430">
        <f>IF(A430="","",382)</f>
        <v/>
      </c>
      <c r="E430">
        <f>IF(OR(Stops!A382="",Stops!E382="",Stops!F382=""),"",ROUND((Stops!F382-Stops!E382)*1440,0))</f>
        <v/>
      </c>
    </row>
    <row r="431">
      <c r="A431">
        <f>IF(Stops!A383="","",Stops!A383)</f>
        <v/>
      </c>
      <c r="B431">
        <f>IF(E431="","",IF(E431&lt;=0,"het einde ligt voor het begin",IF(E431&lt;60,"venster korter dan een uur","")))</f>
        <v/>
      </c>
      <c r="D431">
        <f>IF(A431="","",383)</f>
        <v/>
      </c>
      <c r="E431">
        <f>IF(OR(Stops!A383="",Stops!E383="",Stops!F383=""),"",ROUND((Stops!F383-Stops!E383)*1440,0))</f>
        <v/>
      </c>
    </row>
    <row r="432">
      <c r="A432">
        <f>IF(Stops!A384="","",Stops!A384)</f>
        <v/>
      </c>
      <c r="B432">
        <f>IF(E432="","",IF(E432&lt;=0,"het einde ligt voor het begin",IF(E432&lt;60,"venster korter dan een uur","")))</f>
        <v/>
      </c>
      <c r="D432">
        <f>IF(A432="","",384)</f>
        <v/>
      </c>
      <c r="E432">
        <f>IF(OR(Stops!A384="",Stops!E384="",Stops!F384=""),"",ROUND((Stops!F384-Stops!E384)*1440,0))</f>
        <v/>
      </c>
    </row>
    <row r="433">
      <c r="A433">
        <f>IF(Stops!A385="","",Stops!A385)</f>
        <v/>
      </c>
      <c r="B433">
        <f>IF(E433="","",IF(E433&lt;=0,"het einde ligt voor het begin",IF(E433&lt;60,"venster korter dan een uur","")))</f>
        <v/>
      </c>
      <c r="D433">
        <f>IF(A433="","",385)</f>
        <v/>
      </c>
      <c r="E433">
        <f>IF(OR(Stops!A385="",Stops!E385="",Stops!F385=""),"",ROUND((Stops!F385-Stops!E385)*1440,0))</f>
        <v/>
      </c>
    </row>
    <row r="434">
      <c r="A434">
        <f>IF(Stops!A386="","",Stops!A386)</f>
        <v/>
      </c>
      <c r="B434">
        <f>IF(E434="","",IF(E434&lt;=0,"het einde ligt voor het begin",IF(E434&lt;60,"venster korter dan een uur","")))</f>
        <v/>
      </c>
      <c r="D434">
        <f>IF(A434="","",386)</f>
        <v/>
      </c>
      <c r="E434">
        <f>IF(OR(Stops!A386="",Stops!E386="",Stops!F386=""),"",ROUND((Stops!F386-Stops!E386)*1440,0))</f>
        <v/>
      </c>
    </row>
    <row r="435">
      <c r="A435">
        <f>IF(Stops!A387="","",Stops!A387)</f>
        <v/>
      </c>
      <c r="B435">
        <f>IF(E435="","",IF(E435&lt;=0,"het einde ligt voor het begin",IF(E435&lt;60,"venster korter dan een uur","")))</f>
        <v/>
      </c>
      <c r="D435">
        <f>IF(A435="","",387)</f>
        <v/>
      </c>
      <c r="E435">
        <f>IF(OR(Stops!A387="",Stops!E387="",Stops!F387=""),"",ROUND((Stops!F387-Stops!E387)*1440,0))</f>
        <v/>
      </c>
    </row>
    <row r="436">
      <c r="A436">
        <f>IF(Stops!A388="","",Stops!A388)</f>
        <v/>
      </c>
      <c r="B436">
        <f>IF(E436="","",IF(E436&lt;=0,"het einde ligt voor het begin",IF(E436&lt;60,"venster korter dan een uur","")))</f>
        <v/>
      </c>
      <c r="D436">
        <f>IF(A436="","",388)</f>
        <v/>
      </c>
      <c r="E436">
        <f>IF(OR(Stops!A388="",Stops!E388="",Stops!F388=""),"",ROUND((Stops!F388-Stops!E388)*1440,0))</f>
        <v/>
      </c>
    </row>
    <row r="437">
      <c r="A437">
        <f>IF(Stops!A389="","",Stops!A389)</f>
        <v/>
      </c>
      <c r="B437">
        <f>IF(E437="","",IF(E437&lt;=0,"het einde ligt voor het begin",IF(E437&lt;60,"venster korter dan een uur","")))</f>
        <v/>
      </c>
      <c r="D437">
        <f>IF(A437="","",389)</f>
        <v/>
      </c>
      <c r="E437">
        <f>IF(OR(Stops!A389="",Stops!E389="",Stops!F389=""),"",ROUND((Stops!F389-Stops!E389)*1440,0))</f>
        <v/>
      </c>
    </row>
    <row r="438">
      <c r="A438">
        <f>IF(Stops!A390="","",Stops!A390)</f>
        <v/>
      </c>
      <c r="B438">
        <f>IF(E438="","",IF(E438&lt;=0,"het einde ligt voor het begin",IF(E438&lt;60,"venster korter dan een uur","")))</f>
        <v/>
      </c>
      <c r="D438">
        <f>IF(A438="","",390)</f>
        <v/>
      </c>
      <c r="E438">
        <f>IF(OR(Stops!A390="",Stops!E390="",Stops!F390=""),"",ROUND((Stops!F390-Stops!E390)*1440,0))</f>
        <v/>
      </c>
    </row>
    <row r="439">
      <c r="A439">
        <f>IF(Stops!A391="","",Stops!A391)</f>
        <v/>
      </c>
      <c r="B439">
        <f>IF(E439="","",IF(E439&lt;=0,"het einde ligt voor het begin",IF(E439&lt;60,"venster korter dan een uur","")))</f>
        <v/>
      </c>
      <c r="D439">
        <f>IF(A439="","",391)</f>
        <v/>
      </c>
      <c r="E439">
        <f>IF(OR(Stops!A391="",Stops!E391="",Stops!F391=""),"",ROUND((Stops!F391-Stops!E391)*1440,0))</f>
        <v/>
      </c>
    </row>
    <row r="440">
      <c r="A440">
        <f>IF(Stops!A392="","",Stops!A392)</f>
        <v/>
      </c>
      <c r="B440">
        <f>IF(E440="","",IF(E440&lt;=0,"het einde ligt voor het begin",IF(E440&lt;60,"venster korter dan een uur","")))</f>
        <v/>
      </c>
      <c r="D440">
        <f>IF(A440="","",392)</f>
        <v/>
      </c>
      <c r="E440">
        <f>IF(OR(Stops!A392="",Stops!E392="",Stops!F392=""),"",ROUND((Stops!F392-Stops!E392)*1440,0))</f>
        <v/>
      </c>
    </row>
    <row r="441">
      <c r="A441">
        <f>IF(Stops!A393="","",Stops!A393)</f>
        <v/>
      </c>
      <c r="B441">
        <f>IF(E441="","",IF(E441&lt;=0,"het einde ligt voor het begin",IF(E441&lt;60,"venster korter dan een uur","")))</f>
        <v/>
      </c>
      <c r="D441">
        <f>IF(A441="","",393)</f>
        <v/>
      </c>
      <c r="E441">
        <f>IF(OR(Stops!A393="",Stops!E393="",Stops!F393=""),"",ROUND((Stops!F393-Stops!E393)*1440,0))</f>
        <v/>
      </c>
    </row>
    <row r="442">
      <c r="A442">
        <f>IF(Stops!A394="","",Stops!A394)</f>
        <v/>
      </c>
      <c r="B442">
        <f>IF(E442="","",IF(E442&lt;=0,"het einde ligt voor het begin",IF(E442&lt;60,"venster korter dan een uur","")))</f>
        <v/>
      </c>
      <c r="D442">
        <f>IF(A442="","",394)</f>
        <v/>
      </c>
      <c r="E442">
        <f>IF(OR(Stops!A394="",Stops!E394="",Stops!F394=""),"",ROUND((Stops!F394-Stops!E394)*1440,0))</f>
        <v/>
      </c>
    </row>
    <row r="443">
      <c r="A443">
        <f>IF(Stops!A395="","",Stops!A395)</f>
        <v/>
      </c>
      <c r="B443">
        <f>IF(E443="","",IF(E443&lt;=0,"het einde ligt voor het begin",IF(E443&lt;60,"venster korter dan een uur","")))</f>
        <v/>
      </c>
      <c r="D443">
        <f>IF(A443="","",395)</f>
        <v/>
      </c>
      <c r="E443">
        <f>IF(OR(Stops!A395="",Stops!E395="",Stops!F395=""),"",ROUND((Stops!F395-Stops!E395)*1440,0))</f>
        <v/>
      </c>
    </row>
    <row r="444">
      <c r="A444">
        <f>IF(Stops!A396="","",Stops!A396)</f>
        <v/>
      </c>
      <c r="B444">
        <f>IF(E444="","",IF(E444&lt;=0,"het einde ligt voor het begin",IF(E444&lt;60,"venster korter dan een uur","")))</f>
        <v/>
      </c>
      <c r="D444">
        <f>IF(A444="","",396)</f>
        <v/>
      </c>
      <c r="E444">
        <f>IF(OR(Stops!A396="",Stops!E396="",Stops!F396=""),"",ROUND((Stops!F396-Stops!E396)*1440,0))</f>
        <v/>
      </c>
    </row>
    <row r="445">
      <c r="A445">
        <f>IF(Stops!A397="","",Stops!A397)</f>
        <v/>
      </c>
      <c r="B445">
        <f>IF(E445="","",IF(E445&lt;=0,"het einde ligt voor het begin",IF(E445&lt;60,"venster korter dan een uur","")))</f>
        <v/>
      </c>
      <c r="D445">
        <f>IF(A445="","",397)</f>
        <v/>
      </c>
      <c r="E445">
        <f>IF(OR(Stops!A397="",Stops!E397="",Stops!F397=""),"",ROUND((Stops!F397-Stops!E397)*1440,0))</f>
        <v/>
      </c>
    </row>
    <row r="446">
      <c r="A446">
        <f>IF(Stops!A398="","",Stops!A398)</f>
        <v/>
      </c>
      <c r="B446">
        <f>IF(E446="","",IF(E446&lt;=0,"het einde ligt voor het begin",IF(E446&lt;60,"venster korter dan een uur","")))</f>
        <v/>
      </c>
      <c r="D446">
        <f>IF(A446="","",398)</f>
        <v/>
      </c>
      <c r="E446">
        <f>IF(OR(Stops!A398="",Stops!E398="",Stops!F398=""),"",ROUND((Stops!F398-Stops!E398)*1440,0))</f>
        <v/>
      </c>
    </row>
    <row r="447">
      <c r="A447">
        <f>IF(Stops!A399="","",Stops!A399)</f>
        <v/>
      </c>
      <c r="B447">
        <f>IF(E447="","",IF(E447&lt;=0,"het einde ligt voor het begin",IF(E447&lt;60,"venster korter dan een uur","")))</f>
        <v/>
      </c>
      <c r="D447">
        <f>IF(A447="","",399)</f>
        <v/>
      </c>
      <c r="E447">
        <f>IF(OR(Stops!A399="",Stops!E399="",Stops!F399=""),"",ROUND((Stops!F399-Stops!E399)*1440,0))</f>
        <v/>
      </c>
    </row>
    <row r="448">
      <c r="A448">
        <f>IF(Stops!A400="","",Stops!A400)</f>
        <v/>
      </c>
      <c r="B448">
        <f>IF(E448="","",IF(E448&lt;=0,"het einde ligt voor het begin",IF(E448&lt;60,"venster korter dan een uur","")))</f>
        <v/>
      </c>
      <c r="D448">
        <f>IF(A448="","",400)</f>
        <v/>
      </c>
      <c r="E448">
        <f>IF(OR(Stops!A400="",Stops!E400="",Stops!F400=""),"",ROUND((Stops!F400-Stops!E400)*1440,0))</f>
        <v/>
      </c>
    </row>
    <row r="449">
      <c r="A449">
        <f>IF(Stops!A401="","",Stops!A401)</f>
        <v/>
      </c>
      <c r="B449">
        <f>IF(E449="","",IF(E449&lt;=0,"het einde ligt voor het begin",IF(E449&lt;60,"venster korter dan een uur","")))</f>
        <v/>
      </c>
      <c r="D449">
        <f>IF(A449="","",401)</f>
        <v/>
      </c>
      <c r="E449">
        <f>IF(OR(Stops!A401="",Stops!E401="",Stops!F401=""),"",ROUND((Stops!F401-Stops!E401)*1440,0))</f>
        <v/>
      </c>
    </row>
    <row r="450">
      <c r="A450">
        <f>IF(Stops!A402="","",Stops!A402)</f>
        <v/>
      </c>
      <c r="B450">
        <f>IF(E450="","",IF(E450&lt;=0,"het einde ligt voor het begin",IF(E450&lt;60,"venster korter dan een uur","")))</f>
        <v/>
      </c>
      <c r="D450">
        <f>IF(A450="","",402)</f>
        <v/>
      </c>
      <c r="E450">
        <f>IF(OR(Stops!A402="",Stops!E402="",Stops!F402=""),"",ROUND((Stops!F402-Stops!E402)*1440,0))</f>
        <v/>
      </c>
    </row>
    <row r="451">
      <c r="A451">
        <f>IF(Stops!A403="","",Stops!A403)</f>
        <v/>
      </c>
      <c r="B451">
        <f>IF(E451="","",IF(E451&lt;=0,"het einde ligt voor het begin",IF(E451&lt;60,"venster korter dan een uur","")))</f>
        <v/>
      </c>
      <c r="D451">
        <f>IF(A451="","",403)</f>
        <v/>
      </c>
      <c r="E451">
        <f>IF(OR(Stops!A403="",Stops!E403="",Stops!F403=""),"",ROUND((Stops!F403-Stops!E403)*1440,0))</f>
        <v/>
      </c>
    </row>
    <row r="452">
      <c r="A452">
        <f>IF(Stops!A404="","",Stops!A404)</f>
        <v/>
      </c>
      <c r="B452">
        <f>IF(E452="","",IF(E452&lt;=0,"het einde ligt voor het begin",IF(E452&lt;60,"venster korter dan een uur","")))</f>
        <v/>
      </c>
      <c r="D452">
        <f>IF(A452="","",404)</f>
        <v/>
      </c>
      <c r="E452">
        <f>IF(OR(Stops!A404="",Stops!E404="",Stops!F404=""),"",ROUND((Stops!F404-Stops!E404)*1440,0))</f>
        <v/>
      </c>
    </row>
    <row r="453">
      <c r="A453">
        <f>IF(Stops!A405="","",Stops!A405)</f>
        <v/>
      </c>
      <c r="B453">
        <f>IF(E453="","",IF(E453&lt;=0,"het einde ligt voor het begin",IF(E453&lt;60,"venster korter dan een uur","")))</f>
        <v/>
      </c>
      <c r="D453">
        <f>IF(A453="","",405)</f>
        <v/>
      </c>
      <c r="E453">
        <f>IF(OR(Stops!A405="",Stops!E405="",Stops!F405=""),"",ROUND((Stops!F405-Stops!E405)*1440,0))</f>
        <v/>
      </c>
    </row>
    <row r="454">
      <c r="A454">
        <f>IF(Stops!A406="","",Stops!A406)</f>
        <v/>
      </c>
      <c r="B454">
        <f>IF(E454="","",IF(E454&lt;=0,"het einde ligt voor het begin",IF(E454&lt;60,"venster korter dan een uur","")))</f>
        <v/>
      </c>
      <c r="D454">
        <f>IF(A454="","",406)</f>
        <v/>
      </c>
      <c r="E454">
        <f>IF(OR(Stops!A406="",Stops!E406="",Stops!F406=""),"",ROUND((Stops!F406-Stops!E406)*1440,0))</f>
        <v/>
      </c>
    </row>
    <row r="455">
      <c r="A455">
        <f>IF(Stops!A407="","",Stops!A407)</f>
        <v/>
      </c>
      <c r="B455">
        <f>IF(E455="","",IF(E455&lt;=0,"het einde ligt voor het begin",IF(E455&lt;60,"venster korter dan een uur","")))</f>
        <v/>
      </c>
      <c r="D455">
        <f>IF(A455="","",407)</f>
        <v/>
      </c>
      <c r="E455">
        <f>IF(OR(Stops!A407="",Stops!E407="",Stops!F407=""),"",ROUND((Stops!F407-Stops!E407)*1440,0))</f>
        <v/>
      </c>
    </row>
    <row r="456">
      <c r="A456">
        <f>IF(Stops!A408="","",Stops!A408)</f>
        <v/>
      </c>
      <c r="B456">
        <f>IF(E456="","",IF(E456&lt;=0,"het einde ligt voor het begin",IF(E456&lt;60,"venster korter dan een uur","")))</f>
        <v/>
      </c>
      <c r="D456">
        <f>IF(A456="","",408)</f>
        <v/>
      </c>
      <c r="E456">
        <f>IF(OR(Stops!A408="",Stops!E408="",Stops!F408=""),"",ROUND((Stops!F408-Stops!E408)*1440,0))</f>
        <v/>
      </c>
    </row>
    <row r="457">
      <c r="A457">
        <f>IF(Stops!A409="","",Stops!A409)</f>
        <v/>
      </c>
      <c r="B457">
        <f>IF(E457="","",IF(E457&lt;=0,"het einde ligt voor het begin",IF(E457&lt;60,"venster korter dan een uur","")))</f>
        <v/>
      </c>
      <c r="D457">
        <f>IF(A457="","",409)</f>
        <v/>
      </c>
      <c r="E457">
        <f>IF(OR(Stops!A409="",Stops!E409="",Stops!F409=""),"",ROUND((Stops!F409-Stops!E409)*1440,0))</f>
        <v/>
      </c>
    </row>
    <row r="458">
      <c r="A458">
        <f>IF(Stops!A410="","",Stops!A410)</f>
        <v/>
      </c>
      <c r="B458">
        <f>IF(E458="","",IF(E458&lt;=0,"het einde ligt voor het begin",IF(E458&lt;60,"venster korter dan een uur","")))</f>
        <v/>
      </c>
      <c r="D458">
        <f>IF(A458="","",410)</f>
        <v/>
      </c>
      <c r="E458">
        <f>IF(OR(Stops!A410="",Stops!E410="",Stops!F410=""),"",ROUND((Stops!F410-Stops!E410)*1440,0))</f>
        <v/>
      </c>
    </row>
    <row r="459">
      <c r="A459">
        <f>IF(Stops!A411="","",Stops!A411)</f>
        <v/>
      </c>
      <c r="B459">
        <f>IF(E459="","",IF(E459&lt;=0,"het einde ligt voor het begin",IF(E459&lt;60,"venster korter dan een uur","")))</f>
        <v/>
      </c>
      <c r="D459">
        <f>IF(A459="","",411)</f>
        <v/>
      </c>
      <c r="E459">
        <f>IF(OR(Stops!A411="",Stops!E411="",Stops!F411=""),"",ROUND((Stops!F411-Stops!E411)*1440,0))</f>
        <v/>
      </c>
    </row>
    <row r="460">
      <c r="A460">
        <f>IF(Stops!A412="","",Stops!A412)</f>
        <v/>
      </c>
      <c r="B460">
        <f>IF(E460="","",IF(E460&lt;=0,"het einde ligt voor het begin",IF(E460&lt;60,"venster korter dan een uur","")))</f>
        <v/>
      </c>
      <c r="D460">
        <f>IF(A460="","",412)</f>
        <v/>
      </c>
      <c r="E460">
        <f>IF(OR(Stops!A412="",Stops!E412="",Stops!F412=""),"",ROUND((Stops!F412-Stops!E412)*1440,0))</f>
        <v/>
      </c>
    </row>
    <row r="461">
      <c r="A461">
        <f>IF(Stops!A413="","",Stops!A413)</f>
        <v/>
      </c>
      <c r="B461">
        <f>IF(E461="","",IF(E461&lt;=0,"het einde ligt voor het begin",IF(E461&lt;60,"venster korter dan een uur","")))</f>
        <v/>
      </c>
      <c r="D461">
        <f>IF(A461="","",413)</f>
        <v/>
      </c>
      <c r="E461">
        <f>IF(OR(Stops!A413="",Stops!E413="",Stops!F413=""),"",ROUND((Stops!F413-Stops!E413)*1440,0))</f>
        <v/>
      </c>
    </row>
    <row r="462">
      <c r="A462">
        <f>IF(Stops!A414="","",Stops!A414)</f>
        <v/>
      </c>
      <c r="B462">
        <f>IF(E462="","",IF(E462&lt;=0,"het einde ligt voor het begin",IF(E462&lt;60,"venster korter dan een uur","")))</f>
        <v/>
      </c>
      <c r="D462">
        <f>IF(A462="","",414)</f>
        <v/>
      </c>
      <c r="E462">
        <f>IF(OR(Stops!A414="",Stops!E414="",Stops!F414=""),"",ROUND((Stops!F414-Stops!E414)*1440,0))</f>
        <v/>
      </c>
    </row>
    <row r="463">
      <c r="A463">
        <f>IF(Stops!A415="","",Stops!A415)</f>
        <v/>
      </c>
      <c r="B463">
        <f>IF(E463="","",IF(E463&lt;=0,"het einde ligt voor het begin",IF(E463&lt;60,"venster korter dan een uur","")))</f>
        <v/>
      </c>
      <c r="D463">
        <f>IF(A463="","",415)</f>
        <v/>
      </c>
      <c r="E463">
        <f>IF(OR(Stops!A415="",Stops!E415="",Stops!F415=""),"",ROUND((Stops!F415-Stops!E415)*1440,0))</f>
        <v/>
      </c>
    </row>
    <row r="464">
      <c r="A464">
        <f>IF(Stops!A416="","",Stops!A416)</f>
        <v/>
      </c>
      <c r="B464">
        <f>IF(E464="","",IF(E464&lt;=0,"het einde ligt voor het begin",IF(E464&lt;60,"venster korter dan een uur","")))</f>
        <v/>
      </c>
      <c r="D464">
        <f>IF(A464="","",416)</f>
        <v/>
      </c>
      <c r="E464">
        <f>IF(OR(Stops!A416="",Stops!E416="",Stops!F416=""),"",ROUND((Stops!F416-Stops!E416)*1440,0))</f>
        <v/>
      </c>
    </row>
    <row r="465">
      <c r="A465">
        <f>IF(Stops!A417="","",Stops!A417)</f>
        <v/>
      </c>
      <c r="B465">
        <f>IF(E465="","",IF(E465&lt;=0,"het einde ligt voor het begin",IF(E465&lt;60,"venster korter dan een uur","")))</f>
        <v/>
      </c>
      <c r="D465">
        <f>IF(A465="","",417)</f>
        <v/>
      </c>
      <c r="E465">
        <f>IF(OR(Stops!A417="",Stops!E417="",Stops!F417=""),"",ROUND((Stops!F417-Stops!E417)*1440,0))</f>
        <v/>
      </c>
    </row>
    <row r="466">
      <c r="A466">
        <f>IF(Stops!A418="","",Stops!A418)</f>
        <v/>
      </c>
      <c r="B466">
        <f>IF(E466="","",IF(E466&lt;=0,"het einde ligt voor het begin",IF(E466&lt;60,"venster korter dan een uur","")))</f>
        <v/>
      </c>
      <c r="D466">
        <f>IF(A466="","",418)</f>
        <v/>
      </c>
      <c r="E466">
        <f>IF(OR(Stops!A418="",Stops!E418="",Stops!F418=""),"",ROUND((Stops!F418-Stops!E418)*1440,0))</f>
        <v/>
      </c>
    </row>
    <row r="467">
      <c r="A467">
        <f>IF(Stops!A419="","",Stops!A419)</f>
        <v/>
      </c>
      <c r="B467">
        <f>IF(E467="","",IF(E467&lt;=0,"het einde ligt voor het begin",IF(E467&lt;60,"venster korter dan een uur","")))</f>
        <v/>
      </c>
      <c r="D467">
        <f>IF(A467="","",419)</f>
        <v/>
      </c>
      <c r="E467">
        <f>IF(OR(Stops!A419="",Stops!E419="",Stops!F419=""),"",ROUND((Stops!F419-Stops!E419)*1440,0))</f>
        <v/>
      </c>
    </row>
    <row r="468">
      <c r="A468">
        <f>IF(Stops!A420="","",Stops!A420)</f>
        <v/>
      </c>
      <c r="B468">
        <f>IF(E468="","",IF(E468&lt;=0,"het einde ligt voor het begin",IF(E468&lt;60,"venster korter dan een uur","")))</f>
        <v/>
      </c>
      <c r="D468">
        <f>IF(A468="","",420)</f>
        <v/>
      </c>
      <c r="E468">
        <f>IF(OR(Stops!A420="",Stops!E420="",Stops!F420=""),"",ROUND((Stops!F420-Stops!E420)*1440,0))</f>
        <v/>
      </c>
    </row>
    <row r="469">
      <c r="A469">
        <f>IF(Stops!A421="","",Stops!A421)</f>
        <v/>
      </c>
      <c r="B469">
        <f>IF(E469="","",IF(E469&lt;=0,"het einde ligt voor het begin",IF(E469&lt;60,"venster korter dan een uur","")))</f>
        <v/>
      </c>
      <c r="D469">
        <f>IF(A469="","",421)</f>
        <v/>
      </c>
      <c r="E469">
        <f>IF(OR(Stops!A421="",Stops!E421="",Stops!F421=""),"",ROUND((Stops!F421-Stops!E421)*1440,0))</f>
        <v/>
      </c>
    </row>
    <row r="470">
      <c r="A470">
        <f>IF(Stops!A422="","",Stops!A422)</f>
        <v/>
      </c>
      <c r="B470">
        <f>IF(E470="","",IF(E470&lt;=0,"het einde ligt voor het begin",IF(E470&lt;60,"venster korter dan een uur","")))</f>
        <v/>
      </c>
      <c r="D470">
        <f>IF(A470="","",422)</f>
        <v/>
      </c>
      <c r="E470">
        <f>IF(OR(Stops!A422="",Stops!E422="",Stops!F422=""),"",ROUND((Stops!F422-Stops!E422)*1440,0))</f>
        <v/>
      </c>
    </row>
    <row r="471">
      <c r="A471">
        <f>IF(Stops!A423="","",Stops!A423)</f>
        <v/>
      </c>
      <c r="B471">
        <f>IF(E471="","",IF(E471&lt;=0,"het einde ligt voor het begin",IF(E471&lt;60,"venster korter dan een uur","")))</f>
        <v/>
      </c>
      <c r="D471">
        <f>IF(A471="","",423)</f>
        <v/>
      </c>
      <c r="E471">
        <f>IF(OR(Stops!A423="",Stops!E423="",Stops!F423=""),"",ROUND((Stops!F423-Stops!E423)*1440,0))</f>
        <v/>
      </c>
    </row>
    <row r="472">
      <c r="A472">
        <f>IF(Stops!A424="","",Stops!A424)</f>
        <v/>
      </c>
      <c r="B472">
        <f>IF(E472="","",IF(E472&lt;=0,"het einde ligt voor het begin",IF(E472&lt;60,"venster korter dan een uur","")))</f>
        <v/>
      </c>
      <c r="D472">
        <f>IF(A472="","",424)</f>
        <v/>
      </c>
      <c r="E472">
        <f>IF(OR(Stops!A424="",Stops!E424="",Stops!F424=""),"",ROUND((Stops!F424-Stops!E424)*1440,0))</f>
        <v/>
      </c>
    </row>
    <row r="473">
      <c r="A473">
        <f>IF(Stops!A425="","",Stops!A425)</f>
        <v/>
      </c>
      <c r="B473">
        <f>IF(E473="","",IF(E473&lt;=0,"het einde ligt voor het begin",IF(E473&lt;60,"venster korter dan een uur","")))</f>
        <v/>
      </c>
      <c r="D473">
        <f>IF(A473="","",425)</f>
        <v/>
      </c>
      <c r="E473">
        <f>IF(OR(Stops!A425="",Stops!E425="",Stops!F425=""),"",ROUND((Stops!F425-Stops!E425)*1440,0))</f>
        <v/>
      </c>
    </row>
    <row r="474">
      <c r="A474">
        <f>IF(Stops!A426="","",Stops!A426)</f>
        <v/>
      </c>
      <c r="B474">
        <f>IF(E474="","",IF(E474&lt;=0,"het einde ligt voor het begin",IF(E474&lt;60,"venster korter dan een uur","")))</f>
        <v/>
      </c>
      <c r="D474">
        <f>IF(A474="","",426)</f>
        <v/>
      </c>
      <c r="E474">
        <f>IF(OR(Stops!A426="",Stops!E426="",Stops!F426=""),"",ROUND((Stops!F426-Stops!E426)*1440,0))</f>
        <v/>
      </c>
    </row>
    <row r="475">
      <c r="A475">
        <f>IF(Stops!A427="","",Stops!A427)</f>
        <v/>
      </c>
      <c r="B475">
        <f>IF(E475="","",IF(E475&lt;=0,"het einde ligt voor het begin",IF(E475&lt;60,"venster korter dan een uur","")))</f>
        <v/>
      </c>
      <c r="D475">
        <f>IF(A475="","",427)</f>
        <v/>
      </c>
      <c r="E475">
        <f>IF(OR(Stops!A427="",Stops!E427="",Stops!F427=""),"",ROUND((Stops!F427-Stops!E427)*1440,0))</f>
        <v/>
      </c>
    </row>
    <row r="476">
      <c r="A476">
        <f>IF(Stops!A428="","",Stops!A428)</f>
        <v/>
      </c>
      <c r="B476">
        <f>IF(E476="","",IF(E476&lt;=0,"het einde ligt voor het begin",IF(E476&lt;60,"venster korter dan een uur","")))</f>
        <v/>
      </c>
      <c r="D476">
        <f>IF(A476="","",428)</f>
        <v/>
      </c>
      <c r="E476">
        <f>IF(OR(Stops!A428="",Stops!E428="",Stops!F428=""),"",ROUND((Stops!F428-Stops!E428)*1440,0))</f>
        <v/>
      </c>
    </row>
    <row r="477">
      <c r="A477">
        <f>IF(Stops!A429="","",Stops!A429)</f>
        <v/>
      </c>
      <c r="B477">
        <f>IF(E477="","",IF(E477&lt;=0,"het einde ligt voor het begin",IF(E477&lt;60,"venster korter dan een uur","")))</f>
        <v/>
      </c>
      <c r="D477">
        <f>IF(A477="","",429)</f>
        <v/>
      </c>
      <c r="E477">
        <f>IF(OR(Stops!A429="",Stops!E429="",Stops!F429=""),"",ROUND((Stops!F429-Stops!E429)*1440,0))</f>
        <v/>
      </c>
    </row>
    <row r="478">
      <c r="A478">
        <f>IF(Stops!A430="","",Stops!A430)</f>
        <v/>
      </c>
      <c r="B478">
        <f>IF(E478="","",IF(E478&lt;=0,"het einde ligt voor het begin",IF(E478&lt;60,"venster korter dan een uur","")))</f>
        <v/>
      </c>
      <c r="D478">
        <f>IF(A478="","",430)</f>
        <v/>
      </c>
      <c r="E478">
        <f>IF(OR(Stops!A430="",Stops!E430="",Stops!F430=""),"",ROUND((Stops!F430-Stops!E430)*1440,0))</f>
        <v/>
      </c>
    </row>
    <row r="479">
      <c r="A479">
        <f>IF(Stops!A431="","",Stops!A431)</f>
        <v/>
      </c>
      <c r="B479">
        <f>IF(E479="","",IF(E479&lt;=0,"het einde ligt voor het begin",IF(E479&lt;60,"venster korter dan een uur","")))</f>
        <v/>
      </c>
      <c r="D479">
        <f>IF(A479="","",431)</f>
        <v/>
      </c>
      <c r="E479">
        <f>IF(OR(Stops!A431="",Stops!E431="",Stops!F431=""),"",ROUND((Stops!F431-Stops!E431)*1440,0))</f>
        <v/>
      </c>
    </row>
    <row r="480">
      <c r="A480">
        <f>IF(Stops!A432="","",Stops!A432)</f>
        <v/>
      </c>
      <c r="B480">
        <f>IF(E480="","",IF(E480&lt;=0,"het einde ligt voor het begin",IF(E480&lt;60,"venster korter dan een uur","")))</f>
        <v/>
      </c>
      <c r="D480">
        <f>IF(A480="","",432)</f>
        <v/>
      </c>
      <c r="E480">
        <f>IF(OR(Stops!A432="",Stops!E432="",Stops!F432=""),"",ROUND((Stops!F432-Stops!E432)*1440,0))</f>
        <v/>
      </c>
    </row>
    <row r="481">
      <c r="A481">
        <f>IF(Stops!A433="","",Stops!A433)</f>
        <v/>
      </c>
      <c r="B481">
        <f>IF(E481="","",IF(E481&lt;=0,"het einde ligt voor het begin",IF(E481&lt;60,"venster korter dan een uur","")))</f>
        <v/>
      </c>
      <c r="D481">
        <f>IF(A481="","",433)</f>
        <v/>
      </c>
      <c r="E481">
        <f>IF(OR(Stops!A433="",Stops!E433="",Stops!F433=""),"",ROUND((Stops!F433-Stops!E433)*1440,0))</f>
        <v/>
      </c>
    </row>
    <row r="482">
      <c r="A482">
        <f>IF(Stops!A434="","",Stops!A434)</f>
        <v/>
      </c>
      <c r="B482">
        <f>IF(E482="","",IF(E482&lt;=0,"het einde ligt voor het begin",IF(E482&lt;60,"venster korter dan een uur","")))</f>
        <v/>
      </c>
      <c r="D482">
        <f>IF(A482="","",434)</f>
        <v/>
      </c>
      <c r="E482">
        <f>IF(OR(Stops!A434="",Stops!E434="",Stops!F434=""),"",ROUND((Stops!F434-Stops!E434)*1440,0))</f>
        <v/>
      </c>
    </row>
    <row r="483">
      <c r="A483">
        <f>IF(Stops!A435="","",Stops!A435)</f>
        <v/>
      </c>
      <c r="B483">
        <f>IF(E483="","",IF(E483&lt;=0,"het einde ligt voor het begin",IF(E483&lt;60,"venster korter dan een uur","")))</f>
        <v/>
      </c>
      <c r="D483">
        <f>IF(A483="","",435)</f>
        <v/>
      </c>
      <c r="E483">
        <f>IF(OR(Stops!A435="",Stops!E435="",Stops!F435=""),"",ROUND((Stops!F435-Stops!E435)*1440,0))</f>
        <v/>
      </c>
    </row>
    <row r="484">
      <c r="A484">
        <f>IF(Stops!A436="","",Stops!A436)</f>
        <v/>
      </c>
      <c r="B484">
        <f>IF(E484="","",IF(E484&lt;=0,"het einde ligt voor het begin",IF(E484&lt;60,"venster korter dan een uur","")))</f>
        <v/>
      </c>
      <c r="D484">
        <f>IF(A484="","",436)</f>
        <v/>
      </c>
      <c r="E484">
        <f>IF(OR(Stops!A436="",Stops!E436="",Stops!F436=""),"",ROUND((Stops!F436-Stops!E436)*1440,0))</f>
        <v/>
      </c>
    </row>
    <row r="485">
      <c r="A485">
        <f>IF(Stops!A437="","",Stops!A437)</f>
        <v/>
      </c>
      <c r="B485">
        <f>IF(E485="","",IF(E485&lt;=0,"het einde ligt voor het begin",IF(E485&lt;60,"venster korter dan een uur","")))</f>
        <v/>
      </c>
      <c r="D485">
        <f>IF(A485="","",437)</f>
        <v/>
      </c>
      <c r="E485">
        <f>IF(OR(Stops!A437="",Stops!E437="",Stops!F437=""),"",ROUND((Stops!F437-Stops!E437)*1440,0))</f>
        <v/>
      </c>
    </row>
    <row r="486">
      <c r="A486">
        <f>IF(Stops!A438="","",Stops!A438)</f>
        <v/>
      </c>
      <c r="B486">
        <f>IF(E486="","",IF(E486&lt;=0,"het einde ligt voor het begin",IF(E486&lt;60,"venster korter dan een uur","")))</f>
        <v/>
      </c>
      <c r="D486">
        <f>IF(A486="","",438)</f>
        <v/>
      </c>
      <c r="E486">
        <f>IF(OR(Stops!A438="",Stops!E438="",Stops!F438=""),"",ROUND((Stops!F438-Stops!E438)*1440,0))</f>
        <v/>
      </c>
    </row>
    <row r="487">
      <c r="A487">
        <f>IF(Stops!A439="","",Stops!A439)</f>
        <v/>
      </c>
      <c r="B487">
        <f>IF(E487="","",IF(E487&lt;=0,"het einde ligt voor het begin",IF(E487&lt;60,"venster korter dan een uur","")))</f>
        <v/>
      </c>
      <c r="D487">
        <f>IF(A487="","",439)</f>
        <v/>
      </c>
      <c r="E487">
        <f>IF(OR(Stops!A439="",Stops!E439="",Stops!F439=""),"",ROUND((Stops!F439-Stops!E439)*1440,0))</f>
        <v/>
      </c>
    </row>
    <row r="488">
      <c r="A488">
        <f>IF(Stops!A440="","",Stops!A440)</f>
        <v/>
      </c>
      <c r="B488">
        <f>IF(E488="","",IF(E488&lt;=0,"het einde ligt voor het begin",IF(E488&lt;60,"venster korter dan een uur","")))</f>
        <v/>
      </c>
      <c r="D488">
        <f>IF(A488="","",440)</f>
        <v/>
      </c>
      <c r="E488">
        <f>IF(OR(Stops!A440="",Stops!E440="",Stops!F440=""),"",ROUND((Stops!F440-Stops!E440)*1440,0))</f>
        <v/>
      </c>
    </row>
    <row r="489">
      <c r="A489">
        <f>IF(Stops!A441="","",Stops!A441)</f>
        <v/>
      </c>
      <c r="B489">
        <f>IF(E489="","",IF(E489&lt;=0,"het einde ligt voor het begin",IF(E489&lt;60,"venster korter dan een uur","")))</f>
        <v/>
      </c>
      <c r="D489">
        <f>IF(A489="","",441)</f>
        <v/>
      </c>
      <c r="E489">
        <f>IF(OR(Stops!A441="",Stops!E441="",Stops!F441=""),"",ROUND((Stops!F441-Stops!E441)*1440,0))</f>
        <v/>
      </c>
    </row>
    <row r="490">
      <c r="A490">
        <f>IF(Stops!A442="","",Stops!A442)</f>
        <v/>
      </c>
      <c r="B490">
        <f>IF(E490="","",IF(E490&lt;=0,"het einde ligt voor het begin",IF(E490&lt;60,"venster korter dan een uur","")))</f>
        <v/>
      </c>
      <c r="D490">
        <f>IF(A490="","",442)</f>
        <v/>
      </c>
      <c r="E490">
        <f>IF(OR(Stops!A442="",Stops!E442="",Stops!F442=""),"",ROUND((Stops!F442-Stops!E442)*1440,0))</f>
        <v/>
      </c>
    </row>
    <row r="491">
      <c r="A491">
        <f>IF(Stops!A443="","",Stops!A443)</f>
        <v/>
      </c>
      <c r="B491">
        <f>IF(E491="","",IF(E491&lt;=0,"het einde ligt voor het begin",IF(E491&lt;60,"venster korter dan een uur","")))</f>
        <v/>
      </c>
      <c r="D491">
        <f>IF(A491="","",443)</f>
        <v/>
      </c>
      <c r="E491">
        <f>IF(OR(Stops!A443="",Stops!E443="",Stops!F443=""),"",ROUND((Stops!F443-Stops!E443)*1440,0))</f>
        <v/>
      </c>
    </row>
    <row r="492">
      <c r="A492">
        <f>IF(Stops!A444="","",Stops!A444)</f>
        <v/>
      </c>
      <c r="B492">
        <f>IF(E492="","",IF(E492&lt;=0,"het einde ligt voor het begin",IF(E492&lt;60,"venster korter dan een uur","")))</f>
        <v/>
      </c>
      <c r="D492">
        <f>IF(A492="","",444)</f>
        <v/>
      </c>
      <c r="E492">
        <f>IF(OR(Stops!A444="",Stops!E444="",Stops!F444=""),"",ROUND((Stops!F444-Stops!E444)*1440,0))</f>
        <v/>
      </c>
    </row>
    <row r="493">
      <c r="A493">
        <f>IF(Stops!A445="","",Stops!A445)</f>
        <v/>
      </c>
      <c r="B493">
        <f>IF(E493="","",IF(E493&lt;=0,"het einde ligt voor het begin",IF(E493&lt;60,"venster korter dan een uur","")))</f>
        <v/>
      </c>
      <c r="D493">
        <f>IF(A493="","",445)</f>
        <v/>
      </c>
      <c r="E493">
        <f>IF(OR(Stops!A445="",Stops!E445="",Stops!F445=""),"",ROUND((Stops!F445-Stops!E445)*1440,0))</f>
        <v/>
      </c>
    </row>
    <row r="494">
      <c r="A494">
        <f>IF(Stops!A446="","",Stops!A446)</f>
        <v/>
      </c>
      <c r="B494">
        <f>IF(E494="","",IF(E494&lt;=0,"het einde ligt voor het begin",IF(E494&lt;60,"venster korter dan een uur","")))</f>
        <v/>
      </c>
      <c r="D494">
        <f>IF(A494="","",446)</f>
        <v/>
      </c>
      <c r="E494">
        <f>IF(OR(Stops!A446="",Stops!E446="",Stops!F446=""),"",ROUND((Stops!F446-Stops!E446)*1440,0))</f>
        <v/>
      </c>
    </row>
    <row r="495">
      <c r="A495">
        <f>IF(Stops!A447="","",Stops!A447)</f>
        <v/>
      </c>
      <c r="B495">
        <f>IF(E495="","",IF(E495&lt;=0,"het einde ligt voor het begin",IF(E495&lt;60,"venster korter dan een uur","")))</f>
        <v/>
      </c>
      <c r="D495">
        <f>IF(A495="","",447)</f>
        <v/>
      </c>
      <c r="E495">
        <f>IF(OR(Stops!A447="",Stops!E447="",Stops!F447=""),"",ROUND((Stops!F447-Stops!E447)*1440,0))</f>
        <v/>
      </c>
    </row>
    <row r="496">
      <c r="A496">
        <f>IF(Stops!A448="","",Stops!A448)</f>
        <v/>
      </c>
      <c r="B496">
        <f>IF(E496="","",IF(E496&lt;=0,"het einde ligt voor het begin",IF(E496&lt;60,"venster korter dan een uur","")))</f>
        <v/>
      </c>
      <c r="D496">
        <f>IF(A496="","",448)</f>
        <v/>
      </c>
      <c r="E496">
        <f>IF(OR(Stops!A448="",Stops!E448="",Stops!F448=""),"",ROUND((Stops!F448-Stops!E448)*1440,0))</f>
        <v/>
      </c>
    </row>
    <row r="497">
      <c r="A497">
        <f>IF(Stops!A449="","",Stops!A449)</f>
        <v/>
      </c>
      <c r="B497">
        <f>IF(E497="","",IF(E497&lt;=0,"het einde ligt voor het begin",IF(E497&lt;60,"venster korter dan een uur","")))</f>
        <v/>
      </c>
      <c r="D497">
        <f>IF(A497="","",449)</f>
        <v/>
      </c>
      <c r="E497">
        <f>IF(OR(Stops!A449="",Stops!E449="",Stops!F449=""),"",ROUND((Stops!F449-Stops!E449)*1440,0))</f>
        <v/>
      </c>
    </row>
    <row r="498">
      <c r="A498">
        <f>IF(Stops!A450="","",Stops!A450)</f>
        <v/>
      </c>
      <c r="B498">
        <f>IF(E498="","",IF(E498&lt;=0,"het einde ligt voor het begin",IF(E498&lt;60,"venster korter dan een uur","")))</f>
        <v/>
      </c>
      <c r="D498">
        <f>IF(A498="","",450)</f>
        <v/>
      </c>
      <c r="E498">
        <f>IF(OR(Stops!A450="",Stops!E450="",Stops!F450=""),"",ROUND((Stops!F450-Stops!E450)*1440,0))</f>
        <v/>
      </c>
    </row>
    <row r="499">
      <c r="A499">
        <f>IF(Stops!A451="","",Stops!A451)</f>
        <v/>
      </c>
      <c r="B499">
        <f>IF(E499="","",IF(E499&lt;=0,"het einde ligt voor het begin",IF(E499&lt;60,"venster korter dan een uur","")))</f>
        <v/>
      </c>
      <c r="D499">
        <f>IF(A499="","",451)</f>
        <v/>
      </c>
      <c r="E499">
        <f>IF(OR(Stops!A451="",Stops!E451="",Stops!F451=""),"",ROUND((Stops!F451-Stops!E451)*1440,0))</f>
        <v/>
      </c>
    </row>
    <row r="500">
      <c r="A500">
        <f>IF(Stops!A452="","",Stops!A452)</f>
        <v/>
      </c>
      <c r="B500">
        <f>IF(E500="","",IF(E500&lt;=0,"het einde ligt voor het begin",IF(E500&lt;60,"venster korter dan een uur","")))</f>
        <v/>
      </c>
      <c r="D500">
        <f>IF(A500="","",452)</f>
        <v/>
      </c>
      <c r="E500">
        <f>IF(OR(Stops!A452="",Stops!E452="",Stops!F452=""),"",ROUND((Stops!F452-Stops!E452)*1440,0))</f>
        <v/>
      </c>
    </row>
    <row r="501">
      <c r="A501">
        <f>IF(Stops!A453="","",Stops!A453)</f>
        <v/>
      </c>
      <c r="B501">
        <f>IF(E501="","",IF(E501&lt;=0,"het einde ligt voor het begin",IF(E501&lt;60,"venster korter dan een uur","")))</f>
        <v/>
      </c>
      <c r="D501">
        <f>IF(A501="","",453)</f>
        <v/>
      </c>
      <c r="E501">
        <f>IF(OR(Stops!A453="",Stops!E453="",Stops!F453=""),"",ROUND((Stops!F453-Stops!E453)*1440,0))</f>
        <v/>
      </c>
    </row>
    <row r="502">
      <c r="A502">
        <f>IF(Stops!A454="","",Stops!A454)</f>
        <v/>
      </c>
      <c r="B502">
        <f>IF(E502="","",IF(E502&lt;=0,"het einde ligt voor het begin",IF(E502&lt;60,"venster korter dan een uur","")))</f>
        <v/>
      </c>
      <c r="D502">
        <f>IF(A502="","",454)</f>
        <v/>
      </c>
      <c r="E502">
        <f>IF(OR(Stops!A454="",Stops!E454="",Stops!F454=""),"",ROUND((Stops!F454-Stops!E454)*1440,0))</f>
        <v/>
      </c>
    </row>
    <row r="503">
      <c r="A503">
        <f>IF(Stops!A455="","",Stops!A455)</f>
        <v/>
      </c>
      <c r="B503">
        <f>IF(E503="","",IF(E503&lt;=0,"het einde ligt voor het begin",IF(E503&lt;60,"venster korter dan een uur","")))</f>
        <v/>
      </c>
      <c r="D503">
        <f>IF(A503="","",455)</f>
        <v/>
      </c>
      <c r="E503">
        <f>IF(OR(Stops!A455="",Stops!E455="",Stops!F455=""),"",ROUND((Stops!F455-Stops!E455)*1440,0))</f>
        <v/>
      </c>
    </row>
    <row r="504">
      <c r="A504">
        <f>IF(Stops!A456="","",Stops!A456)</f>
        <v/>
      </c>
      <c r="B504">
        <f>IF(E504="","",IF(E504&lt;=0,"het einde ligt voor het begin",IF(E504&lt;60,"venster korter dan een uur","")))</f>
        <v/>
      </c>
      <c r="D504">
        <f>IF(A504="","",456)</f>
        <v/>
      </c>
      <c r="E504">
        <f>IF(OR(Stops!A456="",Stops!E456="",Stops!F456=""),"",ROUND((Stops!F456-Stops!E456)*1440,0))</f>
        <v/>
      </c>
    </row>
    <row r="505">
      <c r="A505">
        <f>IF(Stops!A457="","",Stops!A457)</f>
        <v/>
      </c>
      <c r="B505">
        <f>IF(E505="","",IF(E505&lt;=0,"het einde ligt voor het begin",IF(E505&lt;60,"venster korter dan een uur","")))</f>
        <v/>
      </c>
      <c r="D505">
        <f>IF(A505="","",457)</f>
        <v/>
      </c>
      <c r="E505">
        <f>IF(OR(Stops!A457="",Stops!E457="",Stops!F457=""),"",ROUND((Stops!F457-Stops!E457)*1440,0))</f>
        <v/>
      </c>
    </row>
    <row r="506">
      <c r="A506">
        <f>IF(Stops!A458="","",Stops!A458)</f>
        <v/>
      </c>
      <c r="B506">
        <f>IF(E506="","",IF(E506&lt;=0,"het einde ligt voor het begin",IF(E506&lt;60,"venster korter dan een uur","")))</f>
        <v/>
      </c>
      <c r="D506">
        <f>IF(A506="","",458)</f>
        <v/>
      </c>
      <c r="E506">
        <f>IF(OR(Stops!A458="",Stops!E458="",Stops!F458=""),"",ROUND((Stops!F458-Stops!E458)*1440,0))</f>
        <v/>
      </c>
    </row>
    <row r="507">
      <c r="A507">
        <f>IF(Stops!A459="","",Stops!A459)</f>
        <v/>
      </c>
      <c r="B507">
        <f>IF(E507="","",IF(E507&lt;=0,"het einde ligt voor het begin",IF(E507&lt;60,"venster korter dan een uur","")))</f>
        <v/>
      </c>
      <c r="D507">
        <f>IF(A507="","",459)</f>
        <v/>
      </c>
      <c r="E507">
        <f>IF(OR(Stops!A459="",Stops!E459="",Stops!F459=""),"",ROUND((Stops!F459-Stops!E459)*1440,0))</f>
        <v/>
      </c>
    </row>
    <row r="508">
      <c r="A508">
        <f>IF(Stops!A460="","",Stops!A460)</f>
        <v/>
      </c>
      <c r="B508">
        <f>IF(E508="","",IF(E508&lt;=0,"het einde ligt voor het begin",IF(E508&lt;60,"venster korter dan een uur","")))</f>
        <v/>
      </c>
      <c r="D508">
        <f>IF(A508="","",460)</f>
        <v/>
      </c>
      <c r="E508">
        <f>IF(OR(Stops!A460="",Stops!E460="",Stops!F460=""),"",ROUND((Stops!F460-Stops!E460)*1440,0))</f>
        <v/>
      </c>
    </row>
    <row r="509">
      <c r="A509">
        <f>IF(Stops!A461="","",Stops!A461)</f>
        <v/>
      </c>
      <c r="B509">
        <f>IF(E509="","",IF(E509&lt;=0,"het einde ligt voor het begin",IF(E509&lt;60,"venster korter dan een uur","")))</f>
        <v/>
      </c>
      <c r="D509">
        <f>IF(A509="","",461)</f>
        <v/>
      </c>
      <c r="E509">
        <f>IF(OR(Stops!A461="",Stops!E461="",Stops!F461=""),"",ROUND((Stops!F461-Stops!E461)*1440,0))</f>
        <v/>
      </c>
    </row>
    <row r="510">
      <c r="A510">
        <f>IF(Stops!A462="","",Stops!A462)</f>
        <v/>
      </c>
      <c r="B510">
        <f>IF(E510="","",IF(E510&lt;=0,"het einde ligt voor het begin",IF(E510&lt;60,"venster korter dan een uur","")))</f>
        <v/>
      </c>
      <c r="D510">
        <f>IF(A510="","",462)</f>
        <v/>
      </c>
      <c r="E510">
        <f>IF(OR(Stops!A462="",Stops!E462="",Stops!F462=""),"",ROUND((Stops!F462-Stops!E462)*1440,0))</f>
        <v/>
      </c>
    </row>
    <row r="511">
      <c r="A511">
        <f>IF(Stops!A463="","",Stops!A463)</f>
        <v/>
      </c>
      <c r="B511">
        <f>IF(E511="","",IF(E511&lt;=0,"het einde ligt voor het begin",IF(E511&lt;60,"venster korter dan een uur","")))</f>
        <v/>
      </c>
      <c r="D511">
        <f>IF(A511="","",463)</f>
        <v/>
      </c>
      <c r="E511">
        <f>IF(OR(Stops!A463="",Stops!E463="",Stops!F463=""),"",ROUND((Stops!F463-Stops!E463)*1440,0))</f>
        <v/>
      </c>
    </row>
    <row r="512">
      <c r="A512">
        <f>IF(Stops!A464="","",Stops!A464)</f>
        <v/>
      </c>
      <c r="B512">
        <f>IF(E512="","",IF(E512&lt;=0,"het einde ligt voor het begin",IF(E512&lt;60,"venster korter dan een uur","")))</f>
        <v/>
      </c>
      <c r="D512">
        <f>IF(A512="","",464)</f>
        <v/>
      </c>
      <c r="E512">
        <f>IF(OR(Stops!A464="",Stops!E464="",Stops!F464=""),"",ROUND((Stops!F464-Stops!E464)*1440,0))</f>
        <v/>
      </c>
    </row>
    <row r="513">
      <c r="A513">
        <f>IF(Stops!A465="","",Stops!A465)</f>
        <v/>
      </c>
      <c r="B513">
        <f>IF(E513="","",IF(E513&lt;=0,"het einde ligt voor het begin",IF(E513&lt;60,"venster korter dan een uur","")))</f>
        <v/>
      </c>
      <c r="D513">
        <f>IF(A513="","",465)</f>
        <v/>
      </c>
      <c r="E513">
        <f>IF(OR(Stops!A465="",Stops!E465="",Stops!F465=""),"",ROUND((Stops!F465-Stops!E465)*1440,0))</f>
        <v/>
      </c>
    </row>
    <row r="514">
      <c r="A514">
        <f>IF(Stops!A466="","",Stops!A466)</f>
        <v/>
      </c>
      <c r="B514">
        <f>IF(E514="","",IF(E514&lt;=0,"het einde ligt voor het begin",IF(E514&lt;60,"venster korter dan een uur","")))</f>
        <v/>
      </c>
      <c r="D514">
        <f>IF(A514="","",466)</f>
        <v/>
      </c>
      <c r="E514">
        <f>IF(OR(Stops!A466="",Stops!E466="",Stops!F466=""),"",ROUND((Stops!F466-Stops!E466)*1440,0))</f>
        <v/>
      </c>
    </row>
    <row r="515">
      <c r="A515">
        <f>IF(Stops!A467="","",Stops!A467)</f>
        <v/>
      </c>
      <c r="B515">
        <f>IF(E515="","",IF(E515&lt;=0,"het einde ligt voor het begin",IF(E515&lt;60,"venster korter dan een uur","")))</f>
        <v/>
      </c>
      <c r="D515">
        <f>IF(A515="","",467)</f>
        <v/>
      </c>
      <c r="E515">
        <f>IF(OR(Stops!A467="",Stops!E467="",Stops!F467=""),"",ROUND((Stops!F467-Stops!E467)*1440,0))</f>
        <v/>
      </c>
    </row>
    <row r="516">
      <c r="A516">
        <f>IF(Stops!A468="","",Stops!A468)</f>
        <v/>
      </c>
      <c r="B516">
        <f>IF(E516="","",IF(E516&lt;=0,"het einde ligt voor het begin",IF(E516&lt;60,"venster korter dan een uur","")))</f>
        <v/>
      </c>
      <c r="D516">
        <f>IF(A516="","",468)</f>
        <v/>
      </c>
      <c r="E516">
        <f>IF(OR(Stops!A468="",Stops!E468="",Stops!F468=""),"",ROUND((Stops!F468-Stops!E468)*1440,0))</f>
        <v/>
      </c>
    </row>
    <row r="517">
      <c r="A517">
        <f>IF(Stops!A469="","",Stops!A469)</f>
        <v/>
      </c>
      <c r="B517">
        <f>IF(E517="","",IF(E517&lt;=0,"het einde ligt voor het begin",IF(E517&lt;60,"venster korter dan een uur","")))</f>
        <v/>
      </c>
      <c r="D517">
        <f>IF(A517="","",469)</f>
        <v/>
      </c>
      <c r="E517">
        <f>IF(OR(Stops!A469="",Stops!E469="",Stops!F469=""),"",ROUND((Stops!F469-Stops!E469)*1440,0))</f>
        <v/>
      </c>
    </row>
    <row r="518">
      <c r="A518">
        <f>IF(Stops!A470="","",Stops!A470)</f>
        <v/>
      </c>
      <c r="B518">
        <f>IF(E518="","",IF(E518&lt;=0,"het einde ligt voor het begin",IF(E518&lt;60,"venster korter dan een uur","")))</f>
        <v/>
      </c>
      <c r="D518">
        <f>IF(A518="","",470)</f>
        <v/>
      </c>
      <c r="E518">
        <f>IF(OR(Stops!A470="",Stops!E470="",Stops!F470=""),"",ROUND((Stops!F470-Stops!E470)*1440,0))</f>
        <v/>
      </c>
    </row>
    <row r="519">
      <c r="A519">
        <f>IF(Stops!A471="","",Stops!A471)</f>
        <v/>
      </c>
      <c r="B519">
        <f>IF(E519="","",IF(E519&lt;=0,"het einde ligt voor het begin",IF(E519&lt;60,"venster korter dan een uur","")))</f>
        <v/>
      </c>
      <c r="D519">
        <f>IF(A519="","",471)</f>
        <v/>
      </c>
      <c r="E519">
        <f>IF(OR(Stops!A471="",Stops!E471="",Stops!F471=""),"",ROUND((Stops!F471-Stops!E471)*1440,0))</f>
        <v/>
      </c>
    </row>
    <row r="520">
      <c r="A520">
        <f>IF(Stops!A472="","",Stops!A472)</f>
        <v/>
      </c>
      <c r="B520">
        <f>IF(E520="","",IF(E520&lt;=0,"het einde ligt voor het begin",IF(E520&lt;60,"venster korter dan een uur","")))</f>
        <v/>
      </c>
      <c r="D520">
        <f>IF(A520="","",472)</f>
        <v/>
      </c>
      <c r="E520">
        <f>IF(OR(Stops!A472="",Stops!E472="",Stops!F472=""),"",ROUND((Stops!F472-Stops!E472)*1440,0))</f>
        <v/>
      </c>
    </row>
    <row r="521">
      <c r="A521">
        <f>IF(Stops!A473="","",Stops!A473)</f>
        <v/>
      </c>
      <c r="B521">
        <f>IF(E521="","",IF(E521&lt;=0,"het einde ligt voor het begin",IF(E521&lt;60,"venster korter dan een uur","")))</f>
        <v/>
      </c>
      <c r="D521">
        <f>IF(A521="","",473)</f>
        <v/>
      </c>
      <c r="E521">
        <f>IF(OR(Stops!A473="",Stops!E473="",Stops!F473=""),"",ROUND((Stops!F473-Stops!E473)*1440,0))</f>
        <v/>
      </c>
    </row>
    <row r="522">
      <c r="A522">
        <f>IF(Stops!A474="","",Stops!A474)</f>
        <v/>
      </c>
      <c r="B522">
        <f>IF(E522="","",IF(E522&lt;=0,"het einde ligt voor het begin",IF(E522&lt;60,"venster korter dan een uur","")))</f>
        <v/>
      </c>
      <c r="D522">
        <f>IF(A522="","",474)</f>
        <v/>
      </c>
      <c r="E522">
        <f>IF(OR(Stops!A474="",Stops!E474="",Stops!F474=""),"",ROUND((Stops!F474-Stops!E474)*1440,0))</f>
        <v/>
      </c>
    </row>
    <row r="523">
      <c r="A523">
        <f>IF(Stops!A475="","",Stops!A475)</f>
        <v/>
      </c>
      <c r="B523">
        <f>IF(E523="","",IF(E523&lt;=0,"het einde ligt voor het begin",IF(E523&lt;60,"venster korter dan een uur","")))</f>
        <v/>
      </c>
      <c r="D523">
        <f>IF(A523="","",475)</f>
        <v/>
      </c>
      <c r="E523">
        <f>IF(OR(Stops!A475="",Stops!E475="",Stops!F475=""),"",ROUND((Stops!F475-Stops!E475)*1440,0))</f>
        <v/>
      </c>
    </row>
    <row r="524">
      <c r="A524">
        <f>IF(Stops!A476="","",Stops!A476)</f>
        <v/>
      </c>
      <c r="B524">
        <f>IF(E524="","",IF(E524&lt;=0,"het einde ligt voor het begin",IF(E524&lt;60,"venster korter dan een uur","")))</f>
        <v/>
      </c>
      <c r="D524">
        <f>IF(A524="","",476)</f>
        <v/>
      </c>
      <c r="E524">
        <f>IF(OR(Stops!A476="",Stops!E476="",Stops!F476=""),"",ROUND((Stops!F476-Stops!E476)*1440,0))</f>
        <v/>
      </c>
    </row>
    <row r="525">
      <c r="A525">
        <f>IF(Stops!A477="","",Stops!A477)</f>
        <v/>
      </c>
      <c r="B525">
        <f>IF(E525="","",IF(E525&lt;=0,"het einde ligt voor het begin",IF(E525&lt;60,"venster korter dan een uur","")))</f>
        <v/>
      </c>
      <c r="D525">
        <f>IF(A525="","",477)</f>
        <v/>
      </c>
      <c r="E525">
        <f>IF(OR(Stops!A477="",Stops!E477="",Stops!F477=""),"",ROUND((Stops!F477-Stops!E477)*1440,0))</f>
        <v/>
      </c>
    </row>
    <row r="526">
      <c r="A526">
        <f>IF(Stops!A478="","",Stops!A478)</f>
        <v/>
      </c>
      <c r="B526">
        <f>IF(E526="","",IF(E526&lt;=0,"het einde ligt voor het begin",IF(E526&lt;60,"venster korter dan een uur","")))</f>
        <v/>
      </c>
      <c r="D526">
        <f>IF(A526="","",478)</f>
        <v/>
      </c>
      <c r="E526">
        <f>IF(OR(Stops!A478="",Stops!E478="",Stops!F478=""),"",ROUND((Stops!F478-Stops!E478)*1440,0))</f>
        <v/>
      </c>
    </row>
    <row r="527">
      <c r="A527">
        <f>IF(Stops!A479="","",Stops!A479)</f>
        <v/>
      </c>
      <c r="B527">
        <f>IF(E527="","",IF(E527&lt;=0,"het einde ligt voor het begin",IF(E527&lt;60,"venster korter dan een uur","")))</f>
        <v/>
      </c>
      <c r="D527">
        <f>IF(A527="","",479)</f>
        <v/>
      </c>
      <c r="E527">
        <f>IF(OR(Stops!A479="",Stops!E479="",Stops!F479=""),"",ROUND((Stops!F479-Stops!E479)*1440,0))</f>
        <v/>
      </c>
    </row>
    <row r="528">
      <c r="A528">
        <f>IF(Stops!A480="","",Stops!A480)</f>
        <v/>
      </c>
      <c r="B528">
        <f>IF(E528="","",IF(E528&lt;=0,"het einde ligt voor het begin",IF(E528&lt;60,"venster korter dan een uur","")))</f>
        <v/>
      </c>
      <c r="D528">
        <f>IF(A528="","",480)</f>
        <v/>
      </c>
      <c r="E528">
        <f>IF(OR(Stops!A480="",Stops!E480="",Stops!F480=""),"",ROUND((Stops!F480-Stops!E480)*1440,0))</f>
        <v/>
      </c>
    </row>
    <row r="529">
      <c r="A529">
        <f>IF(Stops!A481="","",Stops!A481)</f>
        <v/>
      </c>
      <c r="B529">
        <f>IF(E529="","",IF(E529&lt;=0,"het einde ligt voor het begin",IF(E529&lt;60,"venster korter dan een uur","")))</f>
        <v/>
      </c>
      <c r="D529">
        <f>IF(A529="","",481)</f>
        <v/>
      </c>
      <c r="E529">
        <f>IF(OR(Stops!A481="",Stops!E481="",Stops!F481=""),"",ROUND((Stops!F481-Stops!E481)*1440,0))</f>
        <v/>
      </c>
    </row>
    <row r="530">
      <c r="A530">
        <f>IF(Stops!A482="","",Stops!A482)</f>
        <v/>
      </c>
      <c r="B530">
        <f>IF(E530="","",IF(E530&lt;=0,"het einde ligt voor het begin",IF(E530&lt;60,"venster korter dan een uur","")))</f>
        <v/>
      </c>
      <c r="D530">
        <f>IF(A530="","",482)</f>
        <v/>
      </c>
      <c r="E530">
        <f>IF(OR(Stops!A482="",Stops!E482="",Stops!F482=""),"",ROUND((Stops!F482-Stops!E482)*1440,0))</f>
        <v/>
      </c>
    </row>
    <row r="531">
      <c r="A531">
        <f>IF(Stops!A483="","",Stops!A483)</f>
        <v/>
      </c>
      <c r="B531">
        <f>IF(E531="","",IF(E531&lt;=0,"het einde ligt voor het begin",IF(E531&lt;60,"venster korter dan een uur","")))</f>
        <v/>
      </c>
      <c r="D531">
        <f>IF(A531="","",483)</f>
        <v/>
      </c>
      <c r="E531">
        <f>IF(OR(Stops!A483="",Stops!E483="",Stops!F483=""),"",ROUND((Stops!F483-Stops!E483)*1440,0))</f>
        <v/>
      </c>
    </row>
    <row r="532">
      <c r="A532">
        <f>IF(Stops!A484="","",Stops!A484)</f>
        <v/>
      </c>
      <c r="B532">
        <f>IF(E532="","",IF(E532&lt;=0,"het einde ligt voor het begin",IF(E532&lt;60,"venster korter dan een uur","")))</f>
        <v/>
      </c>
      <c r="D532">
        <f>IF(A532="","",484)</f>
        <v/>
      </c>
      <c r="E532">
        <f>IF(OR(Stops!A484="",Stops!E484="",Stops!F484=""),"",ROUND((Stops!F484-Stops!E484)*1440,0))</f>
        <v/>
      </c>
    </row>
    <row r="533">
      <c r="A533">
        <f>IF(Stops!A485="","",Stops!A485)</f>
        <v/>
      </c>
      <c r="B533">
        <f>IF(E533="","",IF(E533&lt;=0,"het einde ligt voor het begin",IF(E533&lt;60,"venster korter dan een uur","")))</f>
        <v/>
      </c>
      <c r="D533">
        <f>IF(A533="","",485)</f>
        <v/>
      </c>
      <c r="E533">
        <f>IF(OR(Stops!A485="",Stops!E485="",Stops!F485=""),"",ROUND((Stops!F485-Stops!E485)*1440,0))</f>
        <v/>
      </c>
    </row>
    <row r="534">
      <c r="A534">
        <f>IF(Stops!A486="","",Stops!A486)</f>
        <v/>
      </c>
      <c r="B534">
        <f>IF(E534="","",IF(E534&lt;=0,"het einde ligt voor het begin",IF(E534&lt;60,"venster korter dan een uur","")))</f>
        <v/>
      </c>
      <c r="D534">
        <f>IF(A534="","",486)</f>
        <v/>
      </c>
      <c r="E534">
        <f>IF(OR(Stops!A486="",Stops!E486="",Stops!F486=""),"",ROUND((Stops!F486-Stops!E486)*1440,0))</f>
        <v/>
      </c>
    </row>
    <row r="535">
      <c r="A535">
        <f>IF(Stops!A487="","",Stops!A487)</f>
        <v/>
      </c>
      <c r="B535">
        <f>IF(E535="","",IF(E535&lt;=0,"het einde ligt voor het begin",IF(E535&lt;60,"venster korter dan een uur","")))</f>
        <v/>
      </c>
      <c r="D535">
        <f>IF(A535="","",487)</f>
        <v/>
      </c>
      <c r="E535">
        <f>IF(OR(Stops!A487="",Stops!E487="",Stops!F487=""),"",ROUND((Stops!F487-Stops!E487)*1440,0))</f>
        <v/>
      </c>
    </row>
    <row r="536">
      <c r="A536">
        <f>IF(Stops!A488="","",Stops!A488)</f>
        <v/>
      </c>
      <c r="B536">
        <f>IF(E536="","",IF(E536&lt;=0,"het einde ligt voor het begin",IF(E536&lt;60,"venster korter dan een uur","")))</f>
        <v/>
      </c>
      <c r="D536">
        <f>IF(A536="","",488)</f>
        <v/>
      </c>
      <c r="E536">
        <f>IF(OR(Stops!A488="",Stops!E488="",Stops!F488=""),"",ROUND((Stops!F488-Stops!E488)*1440,0))</f>
        <v/>
      </c>
    </row>
    <row r="537">
      <c r="A537">
        <f>IF(Stops!A489="","",Stops!A489)</f>
        <v/>
      </c>
      <c r="B537">
        <f>IF(E537="","",IF(E537&lt;=0,"het einde ligt voor het begin",IF(E537&lt;60,"venster korter dan een uur","")))</f>
        <v/>
      </c>
      <c r="D537">
        <f>IF(A537="","",489)</f>
        <v/>
      </c>
      <c r="E537">
        <f>IF(OR(Stops!A489="",Stops!E489="",Stops!F489=""),"",ROUND((Stops!F489-Stops!E489)*1440,0))</f>
        <v/>
      </c>
    </row>
    <row r="538">
      <c r="A538">
        <f>IF(Stops!A490="","",Stops!A490)</f>
        <v/>
      </c>
      <c r="B538">
        <f>IF(E538="","",IF(E538&lt;=0,"het einde ligt voor het begin",IF(E538&lt;60,"venster korter dan een uur","")))</f>
        <v/>
      </c>
      <c r="D538">
        <f>IF(A538="","",490)</f>
        <v/>
      </c>
      <c r="E538">
        <f>IF(OR(Stops!A490="",Stops!E490="",Stops!F490=""),"",ROUND((Stops!F490-Stops!E490)*1440,0))</f>
        <v/>
      </c>
    </row>
    <row r="539">
      <c r="A539">
        <f>IF(Stops!A491="","",Stops!A491)</f>
        <v/>
      </c>
      <c r="B539">
        <f>IF(E539="","",IF(E539&lt;=0,"het einde ligt voor het begin",IF(E539&lt;60,"venster korter dan een uur","")))</f>
        <v/>
      </c>
      <c r="D539">
        <f>IF(A539="","",491)</f>
        <v/>
      </c>
      <c r="E539">
        <f>IF(OR(Stops!A491="",Stops!E491="",Stops!F491=""),"",ROUND((Stops!F491-Stops!E491)*1440,0))</f>
        <v/>
      </c>
    </row>
    <row r="540">
      <c r="A540">
        <f>IF(Stops!A492="","",Stops!A492)</f>
        <v/>
      </c>
      <c r="B540">
        <f>IF(E540="","",IF(E540&lt;=0,"het einde ligt voor het begin",IF(E540&lt;60,"venster korter dan een uur","")))</f>
        <v/>
      </c>
      <c r="D540">
        <f>IF(A540="","",492)</f>
        <v/>
      </c>
      <c r="E540">
        <f>IF(OR(Stops!A492="",Stops!E492="",Stops!F492=""),"",ROUND((Stops!F492-Stops!E492)*1440,0))</f>
        <v/>
      </c>
    </row>
    <row r="541">
      <c r="A541">
        <f>IF(Stops!A493="","",Stops!A493)</f>
        <v/>
      </c>
      <c r="B541">
        <f>IF(E541="","",IF(E541&lt;=0,"het einde ligt voor het begin",IF(E541&lt;60,"venster korter dan een uur","")))</f>
        <v/>
      </c>
      <c r="D541">
        <f>IF(A541="","",493)</f>
        <v/>
      </c>
      <c r="E541">
        <f>IF(OR(Stops!A493="",Stops!E493="",Stops!F493=""),"",ROUND((Stops!F493-Stops!E493)*1440,0))</f>
        <v/>
      </c>
    </row>
    <row r="542">
      <c r="A542">
        <f>IF(Stops!A494="","",Stops!A494)</f>
        <v/>
      </c>
      <c r="B542">
        <f>IF(E542="","",IF(E542&lt;=0,"het einde ligt voor het begin",IF(E542&lt;60,"venster korter dan een uur","")))</f>
        <v/>
      </c>
      <c r="D542">
        <f>IF(A542="","",494)</f>
        <v/>
      </c>
      <c r="E542">
        <f>IF(OR(Stops!A494="",Stops!E494="",Stops!F494=""),"",ROUND((Stops!F494-Stops!E494)*1440,0))</f>
        <v/>
      </c>
    </row>
    <row r="543">
      <c r="A543">
        <f>IF(Stops!A495="","",Stops!A495)</f>
        <v/>
      </c>
      <c r="B543">
        <f>IF(E543="","",IF(E543&lt;=0,"het einde ligt voor het begin",IF(E543&lt;60,"venster korter dan een uur","")))</f>
        <v/>
      </c>
      <c r="D543">
        <f>IF(A543="","",495)</f>
        <v/>
      </c>
      <c r="E543">
        <f>IF(OR(Stops!A495="",Stops!E495="",Stops!F495=""),"",ROUND((Stops!F495-Stops!E495)*1440,0))</f>
        <v/>
      </c>
    </row>
    <row r="544">
      <c r="A544">
        <f>IF(Stops!A496="","",Stops!A496)</f>
        <v/>
      </c>
      <c r="B544">
        <f>IF(E544="","",IF(E544&lt;=0,"het einde ligt voor het begin",IF(E544&lt;60,"venster korter dan een uur","")))</f>
        <v/>
      </c>
      <c r="D544">
        <f>IF(A544="","",496)</f>
        <v/>
      </c>
      <c r="E544">
        <f>IF(OR(Stops!A496="",Stops!E496="",Stops!F496=""),"",ROUND((Stops!F496-Stops!E496)*1440,0))</f>
        <v/>
      </c>
    </row>
    <row r="545">
      <c r="A545">
        <f>IF(Stops!A497="","",Stops!A497)</f>
        <v/>
      </c>
      <c r="B545">
        <f>IF(E545="","",IF(E545&lt;=0,"het einde ligt voor het begin",IF(E545&lt;60,"venster korter dan een uur","")))</f>
        <v/>
      </c>
      <c r="D545">
        <f>IF(A545="","",497)</f>
        <v/>
      </c>
      <c r="E545">
        <f>IF(OR(Stops!A497="",Stops!E497="",Stops!F497=""),"",ROUND((Stops!F497-Stops!E497)*1440,0))</f>
        <v/>
      </c>
    </row>
    <row r="546">
      <c r="A546">
        <f>IF(Stops!A498="","",Stops!A498)</f>
        <v/>
      </c>
      <c r="B546">
        <f>IF(E546="","",IF(E546&lt;=0,"het einde ligt voor het begin",IF(E546&lt;60,"venster korter dan een uur","")))</f>
        <v/>
      </c>
      <c r="D546">
        <f>IF(A546="","",498)</f>
        <v/>
      </c>
      <c r="E546">
        <f>IF(OR(Stops!A498="",Stops!E498="",Stops!F498=""),"",ROUND((Stops!F498-Stops!E498)*1440,0))</f>
        <v/>
      </c>
    </row>
    <row r="547">
      <c r="A547">
        <f>IF(Stops!A499="","",Stops!A499)</f>
        <v/>
      </c>
      <c r="B547">
        <f>IF(E547="","",IF(E547&lt;=0,"het einde ligt voor het begin",IF(E547&lt;60,"venster korter dan een uur","")))</f>
        <v/>
      </c>
      <c r="D547">
        <f>IF(A547="","",499)</f>
        <v/>
      </c>
      <c r="E547">
        <f>IF(OR(Stops!A499="",Stops!E499="",Stops!F499=""),"",ROUND((Stops!F499-Stops!E499)*1440,0))</f>
        <v/>
      </c>
    </row>
    <row r="548">
      <c r="A548">
        <f>IF(Stops!A500="","",Stops!A500)</f>
        <v/>
      </c>
      <c r="B548">
        <f>IF(E548="","",IF(E548&lt;=0,"het einde ligt voor het begin",IF(E548&lt;60,"venster korter dan een uur","")))</f>
        <v/>
      </c>
      <c r="D548">
        <f>IF(A548="","",500)</f>
        <v/>
      </c>
      <c r="E548">
        <f>IF(OR(Stops!A500="",Stops!E500="",Stops!F500=""),"",ROUND((Stops!F500-Stops!E500)*1440,0))</f>
        <v/>
      </c>
    </row>
    <row r="549">
      <c r="A549">
        <f>IF(Stops!A501="","",Stops!A501)</f>
        <v/>
      </c>
      <c r="B549">
        <f>IF(E549="","",IF(E549&lt;=0,"het einde ligt voor het begin",IF(E549&lt;60,"venster korter dan een uur","")))</f>
        <v/>
      </c>
      <c r="D549">
        <f>IF(A549="","",501)</f>
        <v/>
      </c>
      <c r="E549">
        <f>IF(OR(Stops!A501="",Stops!E501="",Stops!F501=""),"",ROUND((Stops!F501-Stops!E501)*1440,0))</f>
        <v/>
      </c>
    </row>
    <row r="550">
      <c r="A550">
        <f>IF(Stops!A502="","",Stops!A502)</f>
        <v/>
      </c>
      <c r="B550">
        <f>IF(E550="","",IF(E550&lt;=0,"het einde ligt voor het begin",IF(E550&lt;60,"venster korter dan een uur","")))</f>
        <v/>
      </c>
      <c r="D550">
        <f>IF(A550="","",502)</f>
        <v/>
      </c>
      <c r="E550">
        <f>IF(OR(Stops!A502="",Stops!E502="",Stops!F502=""),"",ROUND((Stops!F502-Stops!E502)*1440,0))</f>
        <v/>
      </c>
    </row>
    <row r="551">
      <c r="A551">
        <f>IF(Stops!A503="","",Stops!A503)</f>
        <v/>
      </c>
      <c r="B551">
        <f>IF(E551="","",IF(E551&lt;=0,"het einde ligt voor het begin",IF(E551&lt;60,"venster korter dan een uur","")))</f>
        <v/>
      </c>
      <c r="D551">
        <f>IF(A551="","",503)</f>
        <v/>
      </c>
      <c r="E551">
        <f>IF(OR(Stops!A503="",Stops!E503="",Stops!F503=""),"",ROUND((Stops!F503-Stops!E503)*1440,0))</f>
        <v/>
      </c>
    </row>
    <row r="552">
      <c r="A552">
        <f>IF(Stops!A504="","",Stops!A504)</f>
        <v/>
      </c>
      <c r="B552">
        <f>IF(E552="","",IF(E552&lt;=0,"het einde ligt voor het begin",IF(E552&lt;60,"venster korter dan een uur","")))</f>
        <v/>
      </c>
      <c r="D552">
        <f>IF(A552="","",504)</f>
        <v/>
      </c>
      <c r="E552">
        <f>IF(OR(Stops!A504="",Stops!E504="",Stops!F504=""),"",ROUND((Stops!F504-Stops!E504)*1440,0))</f>
        <v/>
      </c>
    </row>
    <row r="553">
      <c r="A553">
        <f>IF(Stops!A505="","",Stops!A505)</f>
        <v/>
      </c>
      <c r="B553">
        <f>IF(E553="","",IF(E553&lt;=0,"het einde ligt voor het begin",IF(E553&lt;60,"venster korter dan een uur","")))</f>
        <v/>
      </c>
      <c r="D553">
        <f>IF(A553="","",505)</f>
        <v/>
      </c>
      <c r="E553">
        <f>IF(OR(Stops!A505="",Stops!E505="",Stops!F505=""),"",ROUND((Stops!F505-Stops!E505)*1440,0))</f>
        <v/>
      </c>
    </row>
    <row r="554">
      <c r="A554">
        <f>IF(Stops!A506="","",Stops!A506)</f>
        <v/>
      </c>
      <c r="B554">
        <f>IF(E554="","",IF(E554&lt;=0,"het einde ligt voor het begin",IF(E554&lt;60,"venster korter dan een uur","")))</f>
        <v/>
      </c>
      <c r="D554">
        <f>IF(A554="","",506)</f>
        <v/>
      </c>
      <c r="E554">
        <f>IF(OR(Stops!A506="",Stops!E506="",Stops!F506=""),"",ROUND((Stops!F506-Stops!E506)*1440,0))</f>
        <v/>
      </c>
    </row>
    <row r="555">
      <c r="A555">
        <f>IF(Stops!A507="","",Stops!A507)</f>
        <v/>
      </c>
      <c r="B555">
        <f>IF(E555="","",IF(E555&lt;=0,"het einde ligt voor het begin",IF(E555&lt;60,"venster korter dan een uur","")))</f>
        <v/>
      </c>
      <c r="D555">
        <f>IF(A555="","",507)</f>
        <v/>
      </c>
      <c r="E555">
        <f>IF(OR(Stops!A507="",Stops!E507="",Stops!F507=""),"",ROUND((Stops!F507-Stops!E507)*1440,0))</f>
        <v/>
      </c>
    </row>
    <row r="556">
      <c r="A556">
        <f>IF(Stops!A508="","",Stops!A508)</f>
        <v/>
      </c>
      <c r="B556">
        <f>IF(E556="","",IF(E556&lt;=0,"het einde ligt voor het begin",IF(E556&lt;60,"venster korter dan een uur","")))</f>
        <v/>
      </c>
      <c r="D556">
        <f>IF(A556="","",508)</f>
        <v/>
      </c>
      <c r="E556">
        <f>IF(OR(Stops!A508="",Stops!E508="",Stops!F508=""),"",ROUND((Stops!F508-Stops!E508)*1440,0))</f>
        <v/>
      </c>
    </row>
    <row r="557">
      <c r="A557">
        <f>IF(Stops!A509="","",Stops!A509)</f>
        <v/>
      </c>
      <c r="B557">
        <f>IF(E557="","",IF(E557&lt;=0,"het einde ligt voor het begin",IF(E557&lt;60,"venster korter dan een uur","")))</f>
        <v/>
      </c>
      <c r="D557">
        <f>IF(A557="","",509)</f>
        <v/>
      </c>
      <c r="E557">
        <f>IF(OR(Stops!A509="",Stops!E509="",Stops!F509=""),"",ROUND((Stops!F509-Stops!E509)*1440,0))</f>
        <v/>
      </c>
    </row>
    <row r="558">
      <c r="A558">
        <f>IF(Stops!A510="","",Stops!A510)</f>
        <v/>
      </c>
      <c r="B558">
        <f>IF(E558="","",IF(E558&lt;=0,"het einde ligt voor het begin",IF(E558&lt;60,"venster korter dan een uur","")))</f>
        <v/>
      </c>
      <c r="D558">
        <f>IF(A558="","",510)</f>
        <v/>
      </c>
      <c r="E558">
        <f>IF(OR(Stops!A510="",Stops!E510="",Stops!F510=""),"",ROUND((Stops!F510-Stops!E510)*1440,0))</f>
        <v/>
      </c>
    </row>
    <row r="559">
      <c r="A559">
        <f>IF(Stops!A511="","",Stops!A511)</f>
        <v/>
      </c>
      <c r="B559">
        <f>IF(E559="","",IF(E559&lt;=0,"het einde ligt voor het begin",IF(E559&lt;60,"venster korter dan een uur","")))</f>
        <v/>
      </c>
      <c r="D559">
        <f>IF(A559="","",511)</f>
        <v/>
      </c>
      <c r="E559">
        <f>IF(OR(Stops!A511="",Stops!E511="",Stops!F511=""),"",ROUND((Stops!F511-Stops!E511)*1440,0))</f>
        <v/>
      </c>
    </row>
    <row r="560">
      <c r="A560">
        <f>IF(Stops!A512="","",Stops!A512)</f>
        <v/>
      </c>
      <c r="B560">
        <f>IF(E560="","",IF(E560&lt;=0,"het einde ligt voor het begin",IF(E560&lt;60,"venster korter dan een uur","")))</f>
        <v/>
      </c>
      <c r="D560">
        <f>IF(A560="","",512)</f>
        <v/>
      </c>
      <c r="E560">
        <f>IF(OR(Stops!A512="",Stops!E512="",Stops!F512=""),"",ROUND((Stops!F512-Stops!E512)*1440,0))</f>
        <v/>
      </c>
    </row>
    <row r="561">
      <c r="A561">
        <f>IF(Stops!A513="","",Stops!A513)</f>
        <v/>
      </c>
      <c r="B561">
        <f>IF(E561="","",IF(E561&lt;=0,"het einde ligt voor het begin",IF(E561&lt;60,"venster korter dan een uur","")))</f>
        <v/>
      </c>
      <c r="D561">
        <f>IF(A561="","",513)</f>
        <v/>
      </c>
      <c r="E561">
        <f>IF(OR(Stops!A513="",Stops!E513="",Stops!F513=""),"",ROUND((Stops!F513-Stops!E513)*1440,0))</f>
        <v/>
      </c>
    </row>
    <row r="562">
      <c r="A562">
        <f>IF(Stops!A514="","",Stops!A514)</f>
        <v/>
      </c>
      <c r="B562">
        <f>IF(E562="","",IF(E562&lt;=0,"het einde ligt voor het begin",IF(E562&lt;60,"venster korter dan een uur","")))</f>
        <v/>
      </c>
      <c r="D562">
        <f>IF(A562="","",514)</f>
        <v/>
      </c>
      <c r="E562">
        <f>IF(OR(Stops!A514="",Stops!E514="",Stops!F514=""),"",ROUND((Stops!F514-Stops!E514)*1440,0))</f>
        <v/>
      </c>
    </row>
    <row r="563">
      <c r="A563">
        <f>IF(Stops!A515="","",Stops!A515)</f>
        <v/>
      </c>
      <c r="B563">
        <f>IF(E563="","",IF(E563&lt;=0,"het einde ligt voor het begin",IF(E563&lt;60,"venster korter dan een uur","")))</f>
        <v/>
      </c>
      <c r="D563">
        <f>IF(A563="","",515)</f>
        <v/>
      </c>
      <c r="E563">
        <f>IF(OR(Stops!A515="",Stops!E515="",Stops!F515=""),"",ROUND((Stops!F515-Stops!E515)*1440,0))</f>
        <v/>
      </c>
    </row>
    <row r="564">
      <c r="A564">
        <f>IF(Stops!A516="","",Stops!A516)</f>
        <v/>
      </c>
      <c r="B564">
        <f>IF(E564="","",IF(E564&lt;=0,"het einde ligt voor het begin",IF(E564&lt;60,"venster korter dan een uur","")))</f>
        <v/>
      </c>
      <c r="D564">
        <f>IF(A564="","",516)</f>
        <v/>
      </c>
      <c r="E564">
        <f>IF(OR(Stops!A516="",Stops!E516="",Stops!F516=""),"",ROUND((Stops!F516-Stops!E516)*1440,0))</f>
        <v/>
      </c>
    </row>
    <row r="565">
      <c r="A565">
        <f>IF(Stops!A517="","",Stops!A517)</f>
        <v/>
      </c>
      <c r="B565">
        <f>IF(E565="","",IF(E565&lt;=0,"het einde ligt voor het begin",IF(E565&lt;60,"venster korter dan een uur","")))</f>
        <v/>
      </c>
      <c r="D565">
        <f>IF(A565="","",517)</f>
        <v/>
      </c>
      <c r="E565">
        <f>IF(OR(Stops!A517="",Stops!E517="",Stops!F517=""),"",ROUND((Stops!F517-Stops!E517)*1440,0))</f>
        <v/>
      </c>
    </row>
    <row r="566">
      <c r="A566">
        <f>IF(Stops!A518="","",Stops!A518)</f>
        <v/>
      </c>
      <c r="B566">
        <f>IF(E566="","",IF(E566&lt;=0,"het einde ligt voor het begin",IF(E566&lt;60,"venster korter dan een uur","")))</f>
        <v/>
      </c>
      <c r="D566">
        <f>IF(A566="","",518)</f>
        <v/>
      </c>
      <c r="E566">
        <f>IF(OR(Stops!A518="",Stops!E518="",Stops!F518=""),"",ROUND((Stops!F518-Stops!E518)*1440,0))</f>
        <v/>
      </c>
    </row>
    <row r="567">
      <c r="A567">
        <f>IF(Stops!A519="","",Stops!A519)</f>
        <v/>
      </c>
      <c r="B567">
        <f>IF(E567="","",IF(E567&lt;=0,"het einde ligt voor het begin",IF(E567&lt;60,"venster korter dan een uur","")))</f>
        <v/>
      </c>
      <c r="D567">
        <f>IF(A567="","",519)</f>
        <v/>
      </c>
      <c r="E567">
        <f>IF(OR(Stops!A519="",Stops!E519="",Stops!F519=""),"",ROUND((Stops!F519-Stops!E519)*1440,0))</f>
        <v/>
      </c>
    </row>
    <row r="568">
      <c r="A568">
        <f>IF(Stops!A520="","",Stops!A520)</f>
        <v/>
      </c>
      <c r="B568">
        <f>IF(E568="","",IF(E568&lt;=0,"het einde ligt voor het begin",IF(E568&lt;60,"venster korter dan een uur","")))</f>
        <v/>
      </c>
      <c r="D568">
        <f>IF(A568="","",520)</f>
        <v/>
      </c>
      <c r="E568">
        <f>IF(OR(Stops!A520="",Stops!E520="",Stops!F520=""),"",ROUND((Stops!F520-Stops!E520)*1440,0))</f>
        <v/>
      </c>
    </row>
    <row r="569">
      <c r="A569">
        <f>IF(Stops!A521="","",Stops!A521)</f>
        <v/>
      </c>
      <c r="B569">
        <f>IF(E569="","",IF(E569&lt;=0,"het einde ligt voor het begin",IF(E569&lt;60,"venster korter dan een uur","")))</f>
        <v/>
      </c>
      <c r="D569">
        <f>IF(A569="","",521)</f>
        <v/>
      </c>
      <c r="E569">
        <f>IF(OR(Stops!A521="",Stops!E521="",Stops!F521=""),"",ROUND((Stops!F521-Stops!E521)*1440,0))</f>
        <v/>
      </c>
    </row>
    <row r="570">
      <c r="A570">
        <f>IF(Stops!A522="","",Stops!A522)</f>
        <v/>
      </c>
      <c r="B570">
        <f>IF(E570="","",IF(E570&lt;=0,"het einde ligt voor het begin",IF(E570&lt;60,"venster korter dan een uur","")))</f>
        <v/>
      </c>
      <c r="D570">
        <f>IF(A570="","",522)</f>
        <v/>
      </c>
      <c r="E570">
        <f>IF(OR(Stops!A522="",Stops!E522="",Stops!F522=""),"",ROUND((Stops!F522-Stops!E522)*1440,0))</f>
        <v/>
      </c>
    </row>
    <row r="571">
      <c r="A571">
        <f>IF(Stops!A523="","",Stops!A523)</f>
        <v/>
      </c>
      <c r="B571">
        <f>IF(E571="","",IF(E571&lt;=0,"het einde ligt voor het begin",IF(E571&lt;60,"venster korter dan een uur","")))</f>
        <v/>
      </c>
      <c r="D571">
        <f>IF(A571="","",523)</f>
        <v/>
      </c>
      <c r="E571">
        <f>IF(OR(Stops!A523="",Stops!E523="",Stops!F523=""),"",ROUND((Stops!F523-Stops!E523)*1440,0))</f>
        <v/>
      </c>
    </row>
    <row r="572">
      <c r="A572">
        <f>IF(Stops!A524="","",Stops!A524)</f>
        <v/>
      </c>
      <c r="B572">
        <f>IF(E572="","",IF(E572&lt;=0,"het einde ligt voor het begin",IF(E572&lt;60,"venster korter dan een uur","")))</f>
        <v/>
      </c>
      <c r="D572">
        <f>IF(A572="","",524)</f>
        <v/>
      </c>
      <c r="E572">
        <f>IF(OR(Stops!A524="",Stops!E524="",Stops!F524=""),"",ROUND((Stops!F524-Stops!E524)*1440,0))</f>
        <v/>
      </c>
    </row>
    <row r="573">
      <c r="A573">
        <f>IF(Stops!A525="","",Stops!A525)</f>
        <v/>
      </c>
      <c r="B573">
        <f>IF(E573="","",IF(E573&lt;=0,"het einde ligt voor het begin",IF(E573&lt;60,"venster korter dan een uur","")))</f>
        <v/>
      </c>
      <c r="D573">
        <f>IF(A573="","",525)</f>
        <v/>
      </c>
      <c r="E573">
        <f>IF(OR(Stops!A525="",Stops!E525="",Stops!F525=""),"",ROUND((Stops!F525-Stops!E525)*1440,0))</f>
        <v/>
      </c>
    </row>
    <row r="574">
      <c r="A574">
        <f>IF(Stops!A526="","",Stops!A526)</f>
        <v/>
      </c>
      <c r="B574">
        <f>IF(E574="","",IF(E574&lt;=0,"het einde ligt voor het begin",IF(E574&lt;60,"venster korter dan een uur","")))</f>
        <v/>
      </c>
      <c r="D574">
        <f>IF(A574="","",526)</f>
        <v/>
      </c>
      <c r="E574">
        <f>IF(OR(Stops!A526="",Stops!E526="",Stops!F526=""),"",ROUND((Stops!F526-Stops!E526)*1440,0))</f>
        <v/>
      </c>
    </row>
    <row r="575">
      <c r="A575">
        <f>IF(Stops!A527="","",Stops!A527)</f>
        <v/>
      </c>
      <c r="B575">
        <f>IF(E575="","",IF(E575&lt;=0,"het einde ligt voor het begin",IF(E575&lt;60,"venster korter dan een uur","")))</f>
        <v/>
      </c>
      <c r="D575">
        <f>IF(A575="","",527)</f>
        <v/>
      </c>
      <c r="E575">
        <f>IF(OR(Stops!A527="",Stops!E527="",Stops!F527=""),"",ROUND((Stops!F527-Stops!E527)*1440,0))</f>
        <v/>
      </c>
    </row>
    <row r="576">
      <c r="A576">
        <f>IF(Stops!A528="","",Stops!A528)</f>
        <v/>
      </c>
      <c r="B576">
        <f>IF(E576="","",IF(E576&lt;=0,"het einde ligt voor het begin",IF(E576&lt;60,"venster korter dan een uur","")))</f>
        <v/>
      </c>
      <c r="D576">
        <f>IF(A576="","",528)</f>
        <v/>
      </c>
      <c r="E576">
        <f>IF(OR(Stops!A528="",Stops!E528="",Stops!F528=""),"",ROUND((Stops!F528-Stops!E528)*1440,0))</f>
        <v/>
      </c>
    </row>
    <row r="577">
      <c r="A577">
        <f>IF(Stops!A529="","",Stops!A529)</f>
        <v/>
      </c>
      <c r="B577">
        <f>IF(E577="","",IF(E577&lt;=0,"het einde ligt voor het begin",IF(E577&lt;60,"venster korter dan een uur","")))</f>
        <v/>
      </c>
      <c r="D577">
        <f>IF(A577="","",529)</f>
        <v/>
      </c>
      <c r="E577">
        <f>IF(OR(Stops!A529="",Stops!E529="",Stops!F529=""),"",ROUND((Stops!F529-Stops!E529)*1440,0))</f>
        <v/>
      </c>
    </row>
    <row r="578">
      <c r="A578">
        <f>IF(Stops!A530="","",Stops!A530)</f>
        <v/>
      </c>
      <c r="B578">
        <f>IF(E578="","",IF(E578&lt;=0,"het einde ligt voor het begin",IF(E578&lt;60,"venster korter dan een uur","")))</f>
        <v/>
      </c>
      <c r="D578">
        <f>IF(A578="","",530)</f>
        <v/>
      </c>
      <c r="E578">
        <f>IF(OR(Stops!A530="",Stops!E530="",Stops!F530=""),"",ROUND((Stops!F530-Stops!E530)*1440,0))</f>
        <v/>
      </c>
    </row>
    <row r="579">
      <c r="A579">
        <f>IF(Stops!A531="","",Stops!A531)</f>
        <v/>
      </c>
      <c r="B579">
        <f>IF(E579="","",IF(E579&lt;=0,"het einde ligt voor het begin",IF(E579&lt;60,"venster korter dan een uur","")))</f>
        <v/>
      </c>
      <c r="D579">
        <f>IF(A579="","",531)</f>
        <v/>
      </c>
      <c r="E579">
        <f>IF(OR(Stops!A531="",Stops!E531="",Stops!F531=""),"",ROUND((Stops!F531-Stops!E531)*1440,0))</f>
        <v/>
      </c>
    </row>
    <row r="580">
      <c r="A580">
        <f>IF(Stops!A532="","",Stops!A532)</f>
        <v/>
      </c>
      <c r="B580">
        <f>IF(E580="","",IF(E580&lt;=0,"het einde ligt voor het begin",IF(E580&lt;60,"venster korter dan een uur","")))</f>
        <v/>
      </c>
      <c r="D580">
        <f>IF(A580="","",532)</f>
        <v/>
      </c>
      <c r="E580">
        <f>IF(OR(Stops!A532="",Stops!E532="",Stops!F532=""),"",ROUND((Stops!F532-Stops!E532)*1440,0))</f>
        <v/>
      </c>
    </row>
    <row r="581">
      <c r="A581">
        <f>IF(Stops!A533="","",Stops!A533)</f>
        <v/>
      </c>
      <c r="B581">
        <f>IF(E581="","",IF(E581&lt;=0,"het einde ligt voor het begin",IF(E581&lt;60,"venster korter dan een uur","")))</f>
        <v/>
      </c>
      <c r="D581">
        <f>IF(A581="","",533)</f>
        <v/>
      </c>
      <c r="E581">
        <f>IF(OR(Stops!A533="",Stops!E533="",Stops!F533=""),"",ROUND((Stops!F533-Stops!E533)*1440,0))</f>
        <v/>
      </c>
    </row>
    <row r="582">
      <c r="A582">
        <f>IF(Stops!A534="","",Stops!A534)</f>
        <v/>
      </c>
      <c r="B582">
        <f>IF(E582="","",IF(E582&lt;=0,"het einde ligt voor het begin",IF(E582&lt;60,"venster korter dan een uur","")))</f>
        <v/>
      </c>
      <c r="D582">
        <f>IF(A582="","",534)</f>
        <v/>
      </c>
      <c r="E582">
        <f>IF(OR(Stops!A534="",Stops!E534="",Stops!F534=""),"",ROUND((Stops!F534-Stops!E534)*1440,0))</f>
        <v/>
      </c>
    </row>
    <row r="583">
      <c r="A583">
        <f>IF(Stops!A535="","",Stops!A535)</f>
        <v/>
      </c>
      <c r="B583">
        <f>IF(E583="","",IF(E583&lt;=0,"het einde ligt voor het begin",IF(E583&lt;60,"venster korter dan een uur","")))</f>
        <v/>
      </c>
      <c r="D583">
        <f>IF(A583="","",535)</f>
        <v/>
      </c>
      <c r="E583">
        <f>IF(OR(Stops!A535="",Stops!E535="",Stops!F535=""),"",ROUND((Stops!F535-Stops!E535)*1440,0))</f>
        <v/>
      </c>
    </row>
    <row r="584">
      <c r="A584">
        <f>IF(Stops!A536="","",Stops!A536)</f>
        <v/>
      </c>
      <c r="B584">
        <f>IF(E584="","",IF(E584&lt;=0,"het einde ligt voor het begin",IF(E584&lt;60,"venster korter dan een uur","")))</f>
        <v/>
      </c>
      <c r="D584">
        <f>IF(A584="","",536)</f>
        <v/>
      </c>
      <c r="E584">
        <f>IF(OR(Stops!A536="",Stops!E536="",Stops!F536=""),"",ROUND((Stops!F536-Stops!E536)*1440,0))</f>
        <v/>
      </c>
    </row>
    <row r="585">
      <c r="A585">
        <f>IF(Stops!A537="","",Stops!A537)</f>
        <v/>
      </c>
      <c r="B585">
        <f>IF(E585="","",IF(E585&lt;=0,"het einde ligt voor het begin",IF(E585&lt;60,"venster korter dan een uur","")))</f>
        <v/>
      </c>
      <c r="D585">
        <f>IF(A585="","",537)</f>
        <v/>
      </c>
      <c r="E585">
        <f>IF(OR(Stops!A537="",Stops!E537="",Stops!F537=""),"",ROUND((Stops!F537-Stops!E537)*1440,0))</f>
        <v/>
      </c>
    </row>
    <row r="586">
      <c r="A586">
        <f>IF(Stops!A538="","",Stops!A538)</f>
        <v/>
      </c>
      <c r="B586">
        <f>IF(E586="","",IF(E586&lt;=0,"het einde ligt voor het begin",IF(E586&lt;60,"venster korter dan een uur","")))</f>
        <v/>
      </c>
      <c r="D586">
        <f>IF(A586="","",538)</f>
        <v/>
      </c>
      <c r="E586">
        <f>IF(OR(Stops!A538="",Stops!E538="",Stops!F538=""),"",ROUND((Stops!F538-Stops!E538)*1440,0))</f>
        <v/>
      </c>
    </row>
    <row r="587">
      <c r="A587">
        <f>IF(Stops!A539="","",Stops!A539)</f>
        <v/>
      </c>
      <c r="B587">
        <f>IF(E587="","",IF(E587&lt;=0,"het einde ligt voor het begin",IF(E587&lt;60,"venster korter dan een uur","")))</f>
        <v/>
      </c>
      <c r="D587">
        <f>IF(A587="","",539)</f>
        <v/>
      </c>
      <c r="E587">
        <f>IF(OR(Stops!A539="",Stops!E539="",Stops!F539=""),"",ROUND((Stops!F539-Stops!E539)*1440,0))</f>
        <v/>
      </c>
    </row>
    <row r="588">
      <c r="A588">
        <f>IF(Stops!A540="","",Stops!A540)</f>
        <v/>
      </c>
      <c r="B588">
        <f>IF(E588="","",IF(E588&lt;=0,"het einde ligt voor het begin",IF(E588&lt;60,"venster korter dan een uur","")))</f>
        <v/>
      </c>
      <c r="D588">
        <f>IF(A588="","",540)</f>
        <v/>
      </c>
      <c r="E588">
        <f>IF(OR(Stops!A540="",Stops!E540="",Stops!F540=""),"",ROUND((Stops!F540-Stops!E540)*1440,0))</f>
        <v/>
      </c>
    </row>
    <row r="589">
      <c r="A589">
        <f>IF(Stops!A541="","",Stops!A541)</f>
        <v/>
      </c>
      <c r="B589">
        <f>IF(E589="","",IF(E589&lt;=0,"het einde ligt voor het begin",IF(E589&lt;60,"venster korter dan een uur","")))</f>
        <v/>
      </c>
      <c r="D589">
        <f>IF(A589="","",541)</f>
        <v/>
      </c>
      <c r="E589">
        <f>IF(OR(Stops!A541="",Stops!E541="",Stops!F541=""),"",ROUND((Stops!F541-Stops!E541)*1440,0))</f>
        <v/>
      </c>
    </row>
    <row r="590">
      <c r="A590">
        <f>IF(Stops!A542="","",Stops!A542)</f>
        <v/>
      </c>
      <c r="B590">
        <f>IF(E590="","",IF(E590&lt;=0,"het einde ligt voor het begin",IF(E590&lt;60,"venster korter dan een uur","")))</f>
        <v/>
      </c>
      <c r="D590">
        <f>IF(A590="","",542)</f>
        <v/>
      </c>
      <c r="E590">
        <f>IF(OR(Stops!A542="",Stops!E542="",Stops!F542=""),"",ROUND((Stops!F542-Stops!E542)*1440,0))</f>
        <v/>
      </c>
    </row>
    <row r="591">
      <c r="A591">
        <f>IF(Stops!A543="","",Stops!A543)</f>
        <v/>
      </c>
      <c r="B591">
        <f>IF(E591="","",IF(E591&lt;=0,"het einde ligt voor het begin",IF(E591&lt;60,"venster korter dan een uur","")))</f>
        <v/>
      </c>
      <c r="D591">
        <f>IF(A591="","",543)</f>
        <v/>
      </c>
      <c r="E591">
        <f>IF(OR(Stops!A543="",Stops!E543="",Stops!F543=""),"",ROUND((Stops!F543-Stops!E543)*1440,0))</f>
        <v/>
      </c>
    </row>
    <row r="592">
      <c r="A592">
        <f>IF(Stops!A544="","",Stops!A544)</f>
        <v/>
      </c>
      <c r="B592">
        <f>IF(E592="","",IF(E592&lt;=0,"het einde ligt voor het begin",IF(E592&lt;60,"venster korter dan een uur","")))</f>
        <v/>
      </c>
      <c r="D592">
        <f>IF(A592="","",544)</f>
        <v/>
      </c>
      <c r="E592">
        <f>IF(OR(Stops!A544="",Stops!E544="",Stops!F544=""),"",ROUND((Stops!F544-Stops!E544)*1440,0))</f>
        <v/>
      </c>
    </row>
    <row r="593">
      <c r="A593">
        <f>IF(Stops!A545="","",Stops!A545)</f>
        <v/>
      </c>
      <c r="B593">
        <f>IF(E593="","",IF(E593&lt;=0,"het einde ligt voor het begin",IF(E593&lt;60,"venster korter dan een uur","")))</f>
        <v/>
      </c>
      <c r="D593">
        <f>IF(A593="","",545)</f>
        <v/>
      </c>
      <c r="E593">
        <f>IF(OR(Stops!A545="",Stops!E545="",Stops!F545=""),"",ROUND((Stops!F545-Stops!E545)*1440,0))</f>
        <v/>
      </c>
    </row>
    <row r="594">
      <c r="A594">
        <f>IF(Stops!A546="","",Stops!A546)</f>
        <v/>
      </c>
      <c r="B594">
        <f>IF(E594="","",IF(E594&lt;=0,"het einde ligt voor het begin",IF(E594&lt;60,"venster korter dan een uur","")))</f>
        <v/>
      </c>
      <c r="D594">
        <f>IF(A594="","",546)</f>
        <v/>
      </c>
      <c r="E594">
        <f>IF(OR(Stops!A546="",Stops!E546="",Stops!F546=""),"",ROUND((Stops!F546-Stops!E546)*1440,0))</f>
        <v/>
      </c>
    </row>
    <row r="595">
      <c r="A595">
        <f>IF(Stops!A547="","",Stops!A547)</f>
        <v/>
      </c>
      <c r="B595">
        <f>IF(E595="","",IF(E595&lt;=0,"het einde ligt voor het begin",IF(E595&lt;60,"venster korter dan een uur","")))</f>
        <v/>
      </c>
      <c r="D595">
        <f>IF(A595="","",547)</f>
        <v/>
      </c>
      <c r="E595">
        <f>IF(OR(Stops!A547="",Stops!E547="",Stops!F547=""),"",ROUND((Stops!F547-Stops!E547)*1440,0))</f>
        <v/>
      </c>
    </row>
    <row r="596">
      <c r="A596">
        <f>IF(Stops!A548="","",Stops!A548)</f>
        <v/>
      </c>
      <c r="B596">
        <f>IF(E596="","",IF(E596&lt;=0,"het einde ligt voor het begin",IF(E596&lt;60,"venster korter dan een uur","")))</f>
        <v/>
      </c>
      <c r="D596">
        <f>IF(A596="","",548)</f>
        <v/>
      </c>
      <c r="E596">
        <f>IF(OR(Stops!A548="",Stops!E548="",Stops!F548=""),"",ROUND((Stops!F548-Stops!E548)*1440,0))</f>
        <v/>
      </c>
    </row>
    <row r="597">
      <c r="A597">
        <f>IF(Stops!A549="","",Stops!A549)</f>
        <v/>
      </c>
      <c r="B597">
        <f>IF(E597="","",IF(E597&lt;=0,"het einde ligt voor het begin",IF(E597&lt;60,"venster korter dan een uur","")))</f>
        <v/>
      </c>
      <c r="D597">
        <f>IF(A597="","",549)</f>
        <v/>
      </c>
      <c r="E597">
        <f>IF(OR(Stops!A549="",Stops!E549="",Stops!F549=""),"",ROUND((Stops!F549-Stops!E549)*1440,0))</f>
        <v/>
      </c>
    </row>
    <row r="598">
      <c r="A598">
        <f>IF(Stops!A550="","",Stops!A550)</f>
        <v/>
      </c>
      <c r="B598">
        <f>IF(E598="","",IF(E598&lt;=0,"het einde ligt voor het begin",IF(E598&lt;60,"venster korter dan een uur","")))</f>
        <v/>
      </c>
      <c r="D598">
        <f>IF(A598="","",550)</f>
        <v/>
      </c>
      <c r="E598">
        <f>IF(OR(Stops!A550="",Stops!E550="",Stops!F550=""),"",ROUND((Stops!F550-Stops!E550)*1440,0))</f>
        <v/>
      </c>
    </row>
    <row r="599">
      <c r="A599">
        <f>IF(Stops!A551="","",Stops!A551)</f>
        <v/>
      </c>
      <c r="B599">
        <f>IF(E599="","",IF(E599&lt;=0,"het einde ligt voor het begin",IF(E599&lt;60,"venster korter dan een uur","")))</f>
        <v/>
      </c>
      <c r="D599">
        <f>IF(A599="","",551)</f>
        <v/>
      </c>
      <c r="E599">
        <f>IF(OR(Stops!A551="",Stops!E551="",Stops!F551=""),"",ROUND((Stops!F551-Stops!E551)*1440,0))</f>
        <v/>
      </c>
    </row>
    <row r="600">
      <c r="A600">
        <f>IF(Stops!A552="","",Stops!A552)</f>
        <v/>
      </c>
      <c r="B600">
        <f>IF(E600="","",IF(E600&lt;=0,"het einde ligt voor het begin",IF(E600&lt;60,"venster korter dan een uur","")))</f>
        <v/>
      </c>
      <c r="D600">
        <f>IF(A600="","",552)</f>
        <v/>
      </c>
      <c r="E600">
        <f>IF(OR(Stops!A552="",Stops!E552="",Stops!F552=""),"",ROUND((Stops!F552-Stops!E552)*1440,0))</f>
        <v/>
      </c>
    </row>
    <row r="601">
      <c r="A601">
        <f>IF(Stops!A553="","",Stops!A553)</f>
        <v/>
      </c>
      <c r="B601">
        <f>IF(E601="","",IF(E601&lt;=0,"het einde ligt voor het begin",IF(E601&lt;60,"venster korter dan een uur","")))</f>
        <v/>
      </c>
      <c r="D601">
        <f>IF(A601="","",553)</f>
        <v/>
      </c>
      <c r="E601">
        <f>IF(OR(Stops!A553="",Stops!E553="",Stops!F553=""),"",ROUND((Stops!F553-Stops!E553)*1440,0))</f>
        <v/>
      </c>
    </row>
    <row r="602">
      <c r="A602">
        <f>IF(Stops!A554="","",Stops!A554)</f>
        <v/>
      </c>
      <c r="B602">
        <f>IF(E602="","",IF(E602&lt;=0,"het einde ligt voor het begin",IF(E602&lt;60,"venster korter dan een uur","")))</f>
        <v/>
      </c>
      <c r="D602">
        <f>IF(A602="","",554)</f>
        <v/>
      </c>
      <c r="E602">
        <f>IF(OR(Stops!A554="",Stops!E554="",Stops!F554=""),"",ROUND((Stops!F554-Stops!E554)*1440,0))</f>
        <v/>
      </c>
    </row>
    <row r="603">
      <c r="A603">
        <f>IF(Stops!A555="","",Stops!A555)</f>
        <v/>
      </c>
      <c r="B603">
        <f>IF(E603="","",IF(E603&lt;=0,"het einde ligt voor het begin",IF(E603&lt;60,"venster korter dan een uur","")))</f>
        <v/>
      </c>
      <c r="D603">
        <f>IF(A603="","",555)</f>
        <v/>
      </c>
      <c r="E603">
        <f>IF(OR(Stops!A555="",Stops!E555="",Stops!F555=""),"",ROUND((Stops!F555-Stops!E555)*1440,0))</f>
        <v/>
      </c>
    </row>
    <row r="604">
      <c r="A604">
        <f>IF(Stops!A556="","",Stops!A556)</f>
        <v/>
      </c>
      <c r="B604">
        <f>IF(E604="","",IF(E604&lt;=0,"het einde ligt voor het begin",IF(E604&lt;60,"venster korter dan een uur","")))</f>
        <v/>
      </c>
      <c r="D604">
        <f>IF(A604="","",556)</f>
        <v/>
      </c>
      <c r="E604">
        <f>IF(OR(Stops!A556="",Stops!E556="",Stops!F556=""),"",ROUND((Stops!F556-Stops!E556)*1440,0))</f>
        <v/>
      </c>
    </row>
    <row r="605">
      <c r="A605">
        <f>IF(Stops!A557="","",Stops!A557)</f>
        <v/>
      </c>
      <c r="B605">
        <f>IF(E605="","",IF(E605&lt;=0,"het einde ligt voor het begin",IF(E605&lt;60,"venster korter dan een uur","")))</f>
        <v/>
      </c>
      <c r="D605">
        <f>IF(A605="","",557)</f>
        <v/>
      </c>
      <c r="E605">
        <f>IF(OR(Stops!A557="",Stops!E557="",Stops!F557=""),"",ROUND((Stops!F557-Stops!E557)*1440,0))</f>
        <v/>
      </c>
    </row>
    <row r="606">
      <c r="A606">
        <f>IF(Stops!A558="","",Stops!A558)</f>
        <v/>
      </c>
      <c r="B606">
        <f>IF(E606="","",IF(E606&lt;=0,"het einde ligt voor het begin",IF(E606&lt;60,"venster korter dan een uur","")))</f>
        <v/>
      </c>
      <c r="D606">
        <f>IF(A606="","",558)</f>
        <v/>
      </c>
      <c r="E606">
        <f>IF(OR(Stops!A558="",Stops!E558="",Stops!F558=""),"",ROUND((Stops!F558-Stops!E558)*1440,0))</f>
        <v/>
      </c>
    </row>
    <row r="607">
      <c r="A607">
        <f>IF(Stops!A559="","",Stops!A559)</f>
        <v/>
      </c>
      <c r="B607">
        <f>IF(E607="","",IF(E607&lt;=0,"het einde ligt voor het begin",IF(E607&lt;60,"venster korter dan een uur","")))</f>
        <v/>
      </c>
      <c r="D607">
        <f>IF(A607="","",559)</f>
        <v/>
      </c>
      <c r="E607">
        <f>IF(OR(Stops!A559="",Stops!E559="",Stops!F559=""),"",ROUND((Stops!F559-Stops!E559)*1440,0))</f>
        <v/>
      </c>
    </row>
    <row r="608">
      <c r="A608">
        <f>IF(Stops!A560="","",Stops!A560)</f>
        <v/>
      </c>
      <c r="B608">
        <f>IF(E608="","",IF(E608&lt;=0,"het einde ligt voor het begin",IF(E608&lt;60,"venster korter dan een uur","")))</f>
        <v/>
      </c>
      <c r="D608">
        <f>IF(A608="","",560)</f>
        <v/>
      </c>
      <c r="E608">
        <f>IF(OR(Stops!A560="",Stops!E560="",Stops!F560=""),"",ROUND((Stops!F560-Stops!E560)*1440,0))</f>
        <v/>
      </c>
    </row>
    <row r="609">
      <c r="A609">
        <f>IF(Stops!A561="","",Stops!A561)</f>
        <v/>
      </c>
      <c r="B609">
        <f>IF(E609="","",IF(E609&lt;=0,"het einde ligt voor het begin",IF(E609&lt;60,"venster korter dan een uur","")))</f>
        <v/>
      </c>
      <c r="D609">
        <f>IF(A609="","",561)</f>
        <v/>
      </c>
      <c r="E609">
        <f>IF(OR(Stops!A561="",Stops!E561="",Stops!F561=""),"",ROUND((Stops!F561-Stops!E561)*1440,0))</f>
        <v/>
      </c>
    </row>
    <row r="610">
      <c r="A610">
        <f>IF(Stops!A562="","",Stops!A562)</f>
        <v/>
      </c>
      <c r="B610">
        <f>IF(E610="","",IF(E610&lt;=0,"het einde ligt voor het begin",IF(E610&lt;60,"venster korter dan een uur","")))</f>
        <v/>
      </c>
      <c r="D610">
        <f>IF(A610="","",562)</f>
        <v/>
      </c>
      <c r="E610">
        <f>IF(OR(Stops!A562="",Stops!E562="",Stops!F562=""),"",ROUND((Stops!F562-Stops!E562)*1440,0))</f>
        <v/>
      </c>
    </row>
    <row r="611">
      <c r="A611">
        <f>IF(Stops!A563="","",Stops!A563)</f>
        <v/>
      </c>
      <c r="B611">
        <f>IF(E611="","",IF(E611&lt;=0,"het einde ligt voor het begin",IF(E611&lt;60,"venster korter dan een uur","")))</f>
        <v/>
      </c>
      <c r="D611">
        <f>IF(A611="","",563)</f>
        <v/>
      </c>
      <c r="E611">
        <f>IF(OR(Stops!A563="",Stops!E563="",Stops!F563=""),"",ROUND((Stops!F563-Stops!E563)*1440,0))</f>
        <v/>
      </c>
    </row>
    <row r="612">
      <c r="A612">
        <f>IF(Stops!A564="","",Stops!A564)</f>
        <v/>
      </c>
      <c r="B612">
        <f>IF(E612="","",IF(E612&lt;=0,"het einde ligt voor het begin",IF(E612&lt;60,"venster korter dan een uur","")))</f>
        <v/>
      </c>
      <c r="D612">
        <f>IF(A612="","",564)</f>
        <v/>
      </c>
      <c r="E612">
        <f>IF(OR(Stops!A564="",Stops!E564="",Stops!F564=""),"",ROUND((Stops!F564-Stops!E564)*1440,0))</f>
        <v/>
      </c>
    </row>
    <row r="613">
      <c r="A613">
        <f>IF(Stops!A565="","",Stops!A565)</f>
        <v/>
      </c>
      <c r="B613">
        <f>IF(E613="","",IF(E613&lt;=0,"het einde ligt voor het begin",IF(E613&lt;60,"venster korter dan een uur","")))</f>
        <v/>
      </c>
      <c r="D613">
        <f>IF(A613="","",565)</f>
        <v/>
      </c>
      <c r="E613">
        <f>IF(OR(Stops!A565="",Stops!E565="",Stops!F565=""),"",ROUND((Stops!F565-Stops!E565)*1440,0))</f>
        <v/>
      </c>
    </row>
    <row r="614">
      <c r="A614">
        <f>IF(Stops!A566="","",Stops!A566)</f>
        <v/>
      </c>
      <c r="B614">
        <f>IF(E614="","",IF(E614&lt;=0,"het einde ligt voor het begin",IF(E614&lt;60,"venster korter dan een uur","")))</f>
        <v/>
      </c>
      <c r="D614">
        <f>IF(A614="","",566)</f>
        <v/>
      </c>
      <c r="E614">
        <f>IF(OR(Stops!A566="",Stops!E566="",Stops!F566=""),"",ROUND((Stops!F566-Stops!E566)*1440,0))</f>
        <v/>
      </c>
    </row>
    <row r="615">
      <c r="A615">
        <f>IF(Stops!A567="","",Stops!A567)</f>
        <v/>
      </c>
      <c r="B615">
        <f>IF(E615="","",IF(E615&lt;=0,"het einde ligt voor het begin",IF(E615&lt;60,"venster korter dan een uur","")))</f>
        <v/>
      </c>
      <c r="D615">
        <f>IF(A615="","",567)</f>
        <v/>
      </c>
      <c r="E615">
        <f>IF(OR(Stops!A567="",Stops!E567="",Stops!F567=""),"",ROUND((Stops!F567-Stops!E567)*1440,0))</f>
        <v/>
      </c>
    </row>
    <row r="616">
      <c r="A616">
        <f>IF(Stops!A568="","",Stops!A568)</f>
        <v/>
      </c>
      <c r="B616">
        <f>IF(E616="","",IF(E616&lt;=0,"het einde ligt voor het begin",IF(E616&lt;60,"venster korter dan een uur","")))</f>
        <v/>
      </c>
      <c r="D616">
        <f>IF(A616="","",568)</f>
        <v/>
      </c>
      <c r="E616">
        <f>IF(OR(Stops!A568="",Stops!E568="",Stops!F568=""),"",ROUND((Stops!F568-Stops!E568)*1440,0))</f>
        <v/>
      </c>
    </row>
    <row r="617">
      <c r="A617">
        <f>IF(Stops!A569="","",Stops!A569)</f>
        <v/>
      </c>
      <c r="B617">
        <f>IF(E617="","",IF(E617&lt;=0,"het einde ligt voor het begin",IF(E617&lt;60,"venster korter dan een uur","")))</f>
        <v/>
      </c>
      <c r="D617">
        <f>IF(A617="","",569)</f>
        <v/>
      </c>
      <c r="E617">
        <f>IF(OR(Stops!A569="",Stops!E569="",Stops!F569=""),"",ROUND((Stops!F569-Stops!E569)*1440,0))</f>
        <v/>
      </c>
    </row>
    <row r="618">
      <c r="A618">
        <f>IF(Stops!A570="","",Stops!A570)</f>
        <v/>
      </c>
      <c r="B618">
        <f>IF(E618="","",IF(E618&lt;=0,"het einde ligt voor het begin",IF(E618&lt;60,"venster korter dan een uur","")))</f>
        <v/>
      </c>
      <c r="D618">
        <f>IF(A618="","",570)</f>
        <v/>
      </c>
      <c r="E618">
        <f>IF(OR(Stops!A570="",Stops!E570="",Stops!F570=""),"",ROUND((Stops!F570-Stops!E570)*1440,0))</f>
        <v/>
      </c>
    </row>
    <row r="619">
      <c r="A619">
        <f>IF(Stops!A571="","",Stops!A571)</f>
        <v/>
      </c>
      <c r="B619">
        <f>IF(E619="","",IF(E619&lt;=0,"het einde ligt voor het begin",IF(E619&lt;60,"venster korter dan een uur","")))</f>
        <v/>
      </c>
      <c r="D619">
        <f>IF(A619="","",571)</f>
        <v/>
      </c>
      <c r="E619">
        <f>IF(OR(Stops!A571="",Stops!E571="",Stops!F571=""),"",ROUND((Stops!F571-Stops!E571)*1440,0))</f>
        <v/>
      </c>
    </row>
    <row r="620">
      <c r="A620">
        <f>IF(Stops!A572="","",Stops!A572)</f>
        <v/>
      </c>
      <c r="B620">
        <f>IF(E620="","",IF(E620&lt;=0,"het einde ligt voor het begin",IF(E620&lt;60,"venster korter dan een uur","")))</f>
        <v/>
      </c>
      <c r="D620">
        <f>IF(A620="","",572)</f>
        <v/>
      </c>
      <c r="E620">
        <f>IF(OR(Stops!A572="",Stops!E572="",Stops!F572=""),"",ROUND((Stops!F572-Stops!E572)*1440,0))</f>
        <v/>
      </c>
    </row>
    <row r="621">
      <c r="A621">
        <f>IF(Stops!A573="","",Stops!A573)</f>
        <v/>
      </c>
      <c r="B621">
        <f>IF(E621="","",IF(E621&lt;=0,"het einde ligt voor het begin",IF(E621&lt;60,"venster korter dan een uur","")))</f>
        <v/>
      </c>
      <c r="D621">
        <f>IF(A621="","",573)</f>
        <v/>
      </c>
      <c r="E621">
        <f>IF(OR(Stops!A573="",Stops!E573="",Stops!F573=""),"",ROUND((Stops!F573-Stops!E573)*1440,0))</f>
        <v/>
      </c>
    </row>
    <row r="622">
      <c r="A622">
        <f>IF(Stops!A574="","",Stops!A574)</f>
        <v/>
      </c>
      <c r="B622">
        <f>IF(E622="","",IF(E622&lt;=0,"het einde ligt voor het begin",IF(E622&lt;60,"venster korter dan een uur","")))</f>
        <v/>
      </c>
      <c r="D622">
        <f>IF(A622="","",574)</f>
        <v/>
      </c>
      <c r="E622">
        <f>IF(OR(Stops!A574="",Stops!E574="",Stops!F574=""),"",ROUND((Stops!F574-Stops!E574)*1440,0))</f>
        <v/>
      </c>
    </row>
    <row r="623">
      <c r="A623">
        <f>IF(Stops!A575="","",Stops!A575)</f>
        <v/>
      </c>
      <c r="B623">
        <f>IF(E623="","",IF(E623&lt;=0,"het einde ligt voor het begin",IF(E623&lt;60,"venster korter dan een uur","")))</f>
        <v/>
      </c>
      <c r="D623">
        <f>IF(A623="","",575)</f>
        <v/>
      </c>
      <c r="E623">
        <f>IF(OR(Stops!A575="",Stops!E575="",Stops!F575=""),"",ROUND((Stops!F575-Stops!E575)*1440,0))</f>
        <v/>
      </c>
    </row>
    <row r="624">
      <c r="A624">
        <f>IF(Stops!A576="","",Stops!A576)</f>
        <v/>
      </c>
      <c r="B624">
        <f>IF(E624="","",IF(E624&lt;=0,"het einde ligt voor het begin",IF(E624&lt;60,"venster korter dan een uur","")))</f>
        <v/>
      </c>
      <c r="D624">
        <f>IF(A624="","",576)</f>
        <v/>
      </c>
      <c r="E624">
        <f>IF(OR(Stops!A576="",Stops!E576="",Stops!F576=""),"",ROUND((Stops!F576-Stops!E576)*1440,0))</f>
        <v/>
      </c>
    </row>
    <row r="625">
      <c r="A625">
        <f>IF(Stops!A577="","",Stops!A577)</f>
        <v/>
      </c>
      <c r="B625">
        <f>IF(E625="","",IF(E625&lt;=0,"het einde ligt voor het begin",IF(E625&lt;60,"venster korter dan een uur","")))</f>
        <v/>
      </c>
      <c r="D625">
        <f>IF(A625="","",577)</f>
        <v/>
      </c>
      <c r="E625">
        <f>IF(OR(Stops!A577="",Stops!E577="",Stops!F577=""),"",ROUND((Stops!F577-Stops!E577)*1440,0))</f>
        <v/>
      </c>
    </row>
    <row r="626">
      <c r="A626">
        <f>IF(Stops!A578="","",Stops!A578)</f>
        <v/>
      </c>
      <c r="B626">
        <f>IF(E626="","",IF(E626&lt;=0,"het einde ligt voor het begin",IF(E626&lt;60,"venster korter dan een uur","")))</f>
        <v/>
      </c>
      <c r="D626">
        <f>IF(A626="","",578)</f>
        <v/>
      </c>
      <c r="E626">
        <f>IF(OR(Stops!A578="",Stops!E578="",Stops!F578=""),"",ROUND((Stops!F578-Stops!E578)*1440,0))</f>
        <v/>
      </c>
    </row>
    <row r="627">
      <c r="A627">
        <f>IF(Stops!A579="","",Stops!A579)</f>
        <v/>
      </c>
      <c r="B627">
        <f>IF(E627="","",IF(E627&lt;=0,"het einde ligt voor het begin",IF(E627&lt;60,"venster korter dan een uur","")))</f>
        <v/>
      </c>
      <c r="D627">
        <f>IF(A627="","",579)</f>
        <v/>
      </c>
      <c r="E627">
        <f>IF(OR(Stops!A579="",Stops!E579="",Stops!F579=""),"",ROUND((Stops!F579-Stops!E579)*1440,0))</f>
        <v/>
      </c>
    </row>
    <row r="628">
      <c r="A628">
        <f>IF(Stops!A580="","",Stops!A580)</f>
        <v/>
      </c>
      <c r="B628">
        <f>IF(E628="","",IF(E628&lt;=0,"het einde ligt voor het begin",IF(E628&lt;60,"venster korter dan een uur","")))</f>
        <v/>
      </c>
      <c r="D628">
        <f>IF(A628="","",580)</f>
        <v/>
      </c>
      <c r="E628">
        <f>IF(OR(Stops!A580="",Stops!E580="",Stops!F580=""),"",ROUND((Stops!F580-Stops!E580)*1440,0))</f>
        <v/>
      </c>
    </row>
    <row r="629">
      <c r="A629">
        <f>IF(Stops!A581="","",Stops!A581)</f>
        <v/>
      </c>
      <c r="B629">
        <f>IF(E629="","",IF(E629&lt;=0,"het einde ligt voor het begin",IF(E629&lt;60,"venster korter dan een uur","")))</f>
        <v/>
      </c>
      <c r="D629">
        <f>IF(A629="","",581)</f>
        <v/>
      </c>
      <c r="E629">
        <f>IF(OR(Stops!A581="",Stops!E581="",Stops!F581=""),"",ROUND((Stops!F581-Stops!E581)*1440,0))</f>
        <v/>
      </c>
    </row>
    <row r="630">
      <c r="A630">
        <f>IF(Stops!A582="","",Stops!A582)</f>
        <v/>
      </c>
      <c r="B630">
        <f>IF(E630="","",IF(E630&lt;=0,"het einde ligt voor het begin",IF(E630&lt;60,"venster korter dan een uur","")))</f>
        <v/>
      </c>
      <c r="D630">
        <f>IF(A630="","",582)</f>
        <v/>
      </c>
      <c r="E630">
        <f>IF(OR(Stops!A582="",Stops!E582="",Stops!F582=""),"",ROUND((Stops!F582-Stops!E582)*1440,0))</f>
        <v/>
      </c>
    </row>
    <row r="631">
      <c r="A631">
        <f>IF(Stops!A583="","",Stops!A583)</f>
        <v/>
      </c>
      <c r="B631">
        <f>IF(E631="","",IF(E631&lt;=0,"het einde ligt voor het begin",IF(E631&lt;60,"venster korter dan een uur","")))</f>
        <v/>
      </c>
      <c r="D631">
        <f>IF(A631="","",583)</f>
        <v/>
      </c>
      <c r="E631">
        <f>IF(OR(Stops!A583="",Stops!E583="",Stops!F583=""),"",ROUND((Stops!F583-Stops!E583)*1440,0))</f>
        <v/>
      </c>
    </row>
    <row r="632">
      <c r="A632">
        <f>IF(Stops!A584="","",Stops!A584)</f>
        <v/>
      </c>
      <c r="B632">
        <f>IF(E632="","",IF(E632&lt;=0,"het einde ligt voor het begin",IF(E632&lt;60,"venster korter dan een uur","")))</f>
        <v/>
      </c>
      <c r="D632">
        <f>IF(A632="","",584)</f>
        <v/>
      </c>
      <c r="E632">
        <f>IF(OR(Stops!A584="",Stops!E584="",Stops!F584=""),"",ROUND((Stops!F584-Stops!E584)*1440,0))</f>
        <v/>
      </c>
    </row>
    <row r="633">
      <c r="A633">
        <f>IF(Stops!A585="","",Stops!A585)</f>
        <v/>
      </c>
      <c r="B633">
        <f>IF(E633="","",IF(E633&lt;=0,"het einde ligt voor het begin",IF(E633&lt;60,"venster korter dan een uur","")))</f>
        <v/>
      </c>
      <c r="D633">
        <f>IF(A633="","",585)</f>
        <v/>
      </c>
      <c r="E633">
        <f>IF(OR(Stops!A585="",Stops!E585="",Stops!F585=""),"",ROUND((Stops!F585-Stops!E585)*1440,0))</f>
        <v/>
      </c>
    </row>
    <row r="634">
      <c r="A634">
        <f>IF(Stops!A586="","",Stops!A586)</f>
        <v/>
      </c>
      <c r="B634">
        <f>IF(E634="","",IF(E634&lt;=0,"het einde ligt voor het begin",IF(E634&lt;60,"venster korter dan een uur","")))</f>
        <v/>
      </c>
      <c r="D634">
        <f>IF(A634="","",586)</f>
        <v/>
      </c>
      <c r="E634">
        <f>IF(OR(Stops!A586="",Stops!E586="",Stops!F586=""),"",ROUND((Stops!F586-Stops!E586)*1440,0))</f>
        <v/>
      </c>
    </row>
    <row r="635">
      <c r="A635">
        <f>IF(Stops!A587="","",Stops!A587)</f>
        <v/>
      </c>
      <c r="B635">
        <f>IF(E635="","",IF(E635&lt;=0,"het einde ligt voor het begin",IF(E635&lt;60,"venster korter dan een uur","")))</f>
        <v/>
      </c>
      <c r="D635">
        <f>IF(A635="","",587)</f>
        <v/>
      </c>
      <c r="E635">
        <f>IF(OR(Stops!A587="",Stops!E587="",Stops!F587=""),"",ROUND((Stops!F587-Stops!E587)*1440,0))</f>
        <v/>
      </c>
    </row>
    <row r="636">
      <c r="A636">
        <f>IF(Stops!A588="","",Stops!A588)</f>
        <v/>
      </c>
      <c r="B636">
        <f>IF(E636="","",IF(E636&lt;=0,"het einde ligt voor het begin",IF(E636&lt;60,"venster korter dan een uur","")))</f>
        <v/>
      </c>
      <c r="D636">
        <f>IF(A636="","",588)</f>
        <v/>
      </c>
      <c r="E636">
        <f>IF(OR(Stops!A588="",Stops!E588="",Stops!F588=""),"",ROUND((Stops!F588-Stops!E588)*1440,0))</f>
        <v/>
      </c>
    </row>
    <row r="637">
      <c r="A637">
        <f>IF(Stops!A589="","",Stops!A589)</f>
        <v/>
      </c>
      <c r="B637">
        <f>IF(E637="","",IF(E637&lt;=0,"het einde ligt voor het begin",IF(E637&lt;60,"venster korter dan een uur","")))</f>
        <v/>
      </c>
      <c r="D637">
        <f>IF(A637="","",589)</f>
        <v/>
      </c>
      <c r="E637">
        <f>IF(OR(Stops!A589="",Stops!E589="",Stops!F589=""),"",ROUND((Stops!F589-Stops!E589)*1440,0))</f>
        <v/>
      </c>
    </row>
    <row r="638">
      <c r="A638">
        <f>IF(Stops!A590="","",Stops!A590)</f>
        <v/>
      </c>
      <c r="B638">
        <f>IF(E638="","",IF(E638&lt;=0,"het einde ligt voor het begin",IF(E638&lt;60,"venster korter dan een uur","")))</f>
        <v/>
      </c>
      <c r="D638">
        <f>IF(A638="","",590)</f>
        <v/>
      </c>
      <c r="E638">
        <f>IF(OR(Stops!A590="",Stops!E590="",Stops!F590=""),"",ROUND((Stops!F590-Stops!E590)*1440,0))</f>
        <v/>
      </c>
    </row>
    <row r="639">
      <c r="A639">
        <f>IF(Stops!A591="","",Stops!A591)</f>
        <v/>
      </c>
      <c r="B639">
        <f>IF(E639="","",IF(E639&lt;=0,"het einde ligt voor het begin",IF(E639&lt;60,"venster korter dan een uur","")))</f>
        <v/>
      </c>
      <c r="D639">
        <f>IF(A639="","",591)</f>
        <v/>
      </c>
      <c r="E639">
        <f>IF(OR(Stops!A591="",Stops!E591="",Stops!F591=""),"",ROUND((Stops!F591-Stops!E591)*1440,0))</f>
        <v/>
      </c>
    </row>
    <row r="640">
      <c r="A640">
        <f>IF(Stops!A592="","",Stops!A592)</f>
        <v/>
      </c>
      <c r="B640">
        <f>IF(E640="","",IF(E640&lt;=0,"het einde ligt voor het begin",IF(E640&lt;60,"venster korter dan een uur","")))</f>
        <v/>
      </c>
      <c r="D640">
        <f>IF(A640="","",592)</f>
        <v/>
      </c>
      <c r="E640">
        <f>IF(OR(Stops!A592="",Stops!E592="",Stops!F592=""),"",ROUND((Stops!F592-Stops!E592)*1440,0))</f>
        <v/>
      </c>
    </row>
    <row r="641">
      <c r="A641">
        <f>IF(Stops!A593="","",Stops!A593)</f>
        <v/>
      </c>
      <c r="B641">
        <f>IF(E641="","",IF(E641&lt;=0,"het einde ligt voor het begin",IF(E641&lt;60,"venster korter dan een uur","")))</f>
        <v/>
      </c>
      <c r="D641">
        <f>IF(A641="","",593)</f>
        <v/>
      </c>
      <c r="E641">
        <f>IF(OR(Stops!A593="",Stops!E593="",Stops!F593=""),"",ROUND((Stops!F593-Stops!E593)*1440,0))</f>
        <v/>
      </c>
    </row>
    <row r="642">
      <c r="A642">
        <f>IF(Stops!A594="","",Stops!A594)</f>
        <v/>
      </c>
      <c r="B642">
        <f>IF(E642="","",IF(E642&lt;=0,"het einde ligt voor het begin",IF(E642&lt;60,"venster korter dan een uur","")))</f>
        <v/>
      </c>
      <c r="D642">
        <f>IF(A642="","",594)</f>
        <v/>
      </c>
      <c r="E642">
        <f>IF(OR(Stops!A594="",Stops!E594="",Stops!F594=""),"",ROUND((Stops!F594-Stops!E594)*1440,0))</f>
        <v/>
      </c>
    </row>
    <row r="643">
      <c r="A643">
        <f>IF(Stops!A595="","",Stops!A595)</f>
        <v/>
      </c>
      <c r="B643">
        <f>IF(E643="","",IF(E643&lt;=0,"het einde ligt voor het begin",IF(E643&lt;60,"venster korter dan een uur","")))</f>
        <v/>
      </c>
      <c r="D643">
        <f>IF(A643="","",595)</f>
        <v/>
      </c>
      <c r="E643">
        <f>IF(OR(Stops!A595="",Stops!E595="",Stops!F595=""),"",ROUND((Stops!F595-Stops!E595)*1440,0))</f>
        <v/>
      </c>
    </row>
    <row r="644">
      <c r="A644">
        <f>IF(Stops!A596="","",Stops!A596)</f>
        <v/>
      </c>
      <c r="B644">
        <f>IF(E644="","",IF(E644&lt;=0,"het einde ligt voor het begin",IF(E644&lt;60,"venster korter dan een uur","")))</f>
        <v/>
      </c>
      <c r="D644">
        <f>IF(A644="","",596)</f>
        <v/>
      </c>
      <c r="E644">
        <f>IF(OR(Stops!A596="",Stops!E596="",Stops!F596=""),"",ROUND((Stops!F596-Stops!E596)*1440,0))</f>
        <v/>
      </c>
    </row>
    <row r="645">
      <c r="A645">
        <f>IF(Stops!A597="","",Stops!A597)</f>
        <v/>
      </c>
      <c r="B645">
        <f>IF(E645="","",IF(E645&lt;=0,"het einde ligt voor het begin",IF(E645&lt;60,"venster korter dan een uur","")))</f>
        <v/>
      </c>
      <c r="D645">
        <f>IF(A645="","",597)</f>
        <v/>
      </c>
      <c r="E645">
        <f>IF(OR(Stops!A597="",Stops!E597="",Stops!F597=""),"",ROUND((Stops!F597-Stops!E597)*1440,0))</f>
        <v/>
      </c>
    </row>
    <row r="646">
      <c r="A646">
        <f>IF(Stops!A598="","",Stops!A598)</f>
        <v/>
      </c>
      <c r="B646">
        <f>IF(E646="","",IF(E646&lt;=0,"het einde ligt voor het begin",IF(E646&lt;60,"venster korter dan een uur","")))</f>
        <v/>
      </c>
      <c r="D646">
        <f>IF(A646="","",598)</f>
        <v/>
      </c>
      <c r="E646">
        <f>IF(OR(Stops!A598="",Stops!E598="",Stops!F598=""),"",ROUND((Stops!F598-Stops!E598)*1440,0))</f>
        <v/>
      </c>
    </row>
    <row r="647">
      <c r="A647">
        <f>IF(Stops!A599="","",Stops!A599)</f>
        <v/>
      </c>
      <c r="B647">
        <f>IF(E647="","",IF(E647&lt;=0,"het einde ligt voor het begin",IF(E647&lt;60,"venster korter dan een uur","")))</f>
        <v/>
      </c>
      <c r="D647">
        <f>IF(A647="","",599)</f>
        <v/>
      </c>
      <c r="E647">
        <f>IF(OR(Stops!A599="",Stops!E599="",Stops!F599=""),"",ROUND((Stops!F599-Stops!E599)*1440,0))</f>
        <v/>
      </c>
    </row>
    <row r="648">
      <c r="A648">
        <f>IF(Stops!A600="","",Stops!A600)</f>
        <v/>
      </c>
      <c r="B648">
        <f>IF(E648="","",IF(E648&lt;=0,"het einde ligt voor het begin",IF(E648&lt;60,"venster korter dan een uur","")))</f>
        <v/>
      </c>
      <c r="D648">
        <f>IF(A648="","",600)</f>
        <v/>
      </c>
      <c r="E648">
        <f>IF(OR(Stops!A600="",Stops!E600="",Stops!F600=""),"",ROUND((Stops!F600-Stops!E600)*1440,0))</f>
        <v/>
      </c>
    </row>
    <row r="649">
      <c r="A649">
        <f>IF(Stops!A601="","",Stops!A601)</f>
        <v/>
      </c>
      <c r="B649">
        <f>IF(E649="","",IF(E649&lt;=0,"het einde ligt voor het begin",IF(E649&lt;60,"venster korter dan een uur","")))</f>
        <v/>
      </c>
      <c r="D649">
        <f>IF(A649="","",601)</f>
        <v/>
      </c>
      <c r="E649">
        <f>IF(OR(Stops!A601="",Stops!E601="",Stops!F601=""),"",ROUND((Stops!F601-Stops!E601)*1440,0))</f>
        <v/>
      </c>
    </row>
    <row r="650">
      <c r="A650">
        <f>IF(Stops!A602="","",Stops!A602)</f>
        <v/>
      </c>
      <c r="B650">
        <f>IF(E650="","",IF(E650&lt;=0,"het einde ligt voor het begin",IF(E650&lt;60,"venster korter dan een uur","")))</f>
        <v/>
      </c>
      <c r="D650">
        <f>IF(A650="","",602)</f>
        <v/>
      </c>
      <c r="E650">
        <f>IF(OR(Stops!A602="",Stops!E602="",Stops!F602=""),"",ROUND((Stops!F602-Stops!E602)*1440,0))</f>
        <v/>
      </c>
    </row>
    <row r="651">
      <c r="A651">
        <f>IF(Stops!A603="","",Stops!A603)</f>
        <v/>
      </c>
      <c r="B651">
        <f>IF(E651="","",IF(E651&lt;=0,"het einde ligt voor het begin",IF(E651&lt;60,"venster korter dan een uur","")))</f>
        <v/>
      </c>
      <c r="D651">
        <f>IF(A651="","",603)</f>
        <v/>
      </c>
      <c r="E651">
        <f>IF(OR(Stops!A603="",Stops!E603="",Stops!F603=""),"",ROUND((Stops!F603-Stops!E603)*1440,0))</f>
        <v/>
      </c>
    </row>
    <row r="652">
      <c r="A652">
        <f>IF(Stops!A604="","",Stops!A604)</f>
        <v/>
      </c>
      <c r="B652">
        <f>IF(E652="","",IF(E652&lt;=0,"het einde ligt voor het begin",IF(E652&lt;60,"venster korter dan een uur","")))</f>
        <v/>
      </c>
      <c r="D652">
        <f>IF(A652="","",604)</f>
        <v/>
      </c>
      <c r="E652">
        <f>IF(OR(Stops!A604="",Stops!E604="",Stops!F604=""),"",ROUND((Stops!F604-Stops!E604)*1440,0))</f>
        <v/>
      </c>
    </row>
    <row r="653">
      <c r="A653">
        <f>IF(Stops!A605="","",Stops!A605)</f>
        <v/>
      </c>
      <c r="B653">
        <f>IF(E653="","",IF(E653&lt;=0,"het einde ligt voor het begin",IF(E653&lt;60,"venster korter dan een uur","")))</f>
        <v/>
      </c>
      <c r="D653">
        <f>IF(A653="","",605)</f>
        <v/>
      </c>
      <c r="E653">
        <f>IF(OR(Stops!A605="",Stops!E605="",Stops!F605=""),"",ROUND((Stops!F605-Stops!E605)*1440,0))</f>
        <v/>
      </c>
    </row>
    <row r="654">
      <c r="A654">
        <f>IF(Stops!A606="","",Stops!A606)</f>
        <v/>
      </c>
      <c r="B654">
        <f>IF(E654="","",IF(E654&lt;=0,"het einde ligt voor het begin",IF(E654&lt;60,"venster korter dan een uur","")))</f>
        <v/>
      </c>
      <c r="D654">
        <f>IF(A654="","",606)</f>
        <v/>
      </c>
      <c r="E654">
        <f>IF(OR(Stops!A606="",Stops!E606="",Stops!F606=""),"",ROUND((Stops!F606-Stops!E606)*1440,0))</f>
        <v/>
      </c>
    </row>
    <row r="655">
      <c r="A655">
        <f>IF(Stops!A607="","",Stops!A607)</f>
        <v/>
      </c>
      <c r="B655">
        <f>IF(E655="","",IF(E655&lt;=0,"het einde ligt voor het begin",IF(E655&lt;60,"venster korter dan een uur","")))</f>
        <v/>
      </c>
      <c r="D655">
        <f>IF(A655="","",607)</f>
        <v/>
      </c>
      <c r="E655">
        <f>IF(OR(Stops!A607="",Stops!E607="",Stops!F607=""),"",ROUND((Stops!F607-Stops!E607)*1440,0))</f>
        <v/>
      </c>
    </row>
    <row r="656">
      <c r="A656">
        <f>IF(Stops!A608="","",Stops!A608)</f>
        <v/>
      </c>
      <c r="B656">
        <f>IF(E656="","",IF(E656&lt;=0,"het einde ligt voor het begin",IF(E656&lt;60,"venster korter dan een uur","")))</f>
        <v/>
      </c>
      <c r="D656">
        <f>IF(A656="","",608)</f>
        <v/>
      </c>
      <c r="E656">
        <f>IF(OR(Stops!A608="",Stops!E608="",Stops!F608=""),"",ROUND((Stops!F608-Stops!E608)*1440,0))</f>
        <v/>
      </c>
    </row>
    <row r="657">
      <c r="A657">
        <f>IF(Stops!A609="","",Stops!A609)</f>
        <v/>
      </c>
      <c r="B657">
        <f>IF(E657="","",IF(E657&lt;=0,"het einde ligt voor het begin",IF(E657&lt;60,"venster korter dan een uur","")))</f>
        <v/>
      </c>
      <c r="D657">
        <f>IF(A657="","",609)</f>
        <v/>
      </c>
      <c r="E657">
        <f>IF(OR(Stops!A609="",Stops!E609="",Stops!F609=""),"",ROUND((Stops!F609-Stops!E609)*1440,0))</f>
        <v/>
      </c>
    </row>
    <row r="658">
      <c r="A658">
        <f>IF(Stops!A610="","",Stops!A610)</f>
        <v/>
      </c>
      <c r="B658">
        <f>IF(E658="","",IF(E658&lt;=0,"het einde ligt voor het begin",IF(E658&lt;60,"venster korter dan een uur","")))</f>
        <v/>
      </c>
      <c r="D658">
        <f>IF(A658="","",610)</f>
        <v/>
      </c>
      <c r="E658">
        <f>IF(OR(Stops!A610="",Stops!E610="",Stops!F610=""),"",ROUND((Stops!F610-Stops!E610)*1440,0))</f>
        <v/>
      </c>
    </row>
    <row r="659">
      <c r="A659">
        <f>IF(Stops!A611="","",Stops!A611)</f>
        <v/>
      </c>
      <c r="B659">
        <f>IF(E659="","",IF(E659&lt;=0,"het einde ligt voor het begin",IF(E659&lt;60,"venster korter dan een uur","")))</f>
        <v/>
      </c>
      <c r="D659">
        <f>IF(A659="","",611)</f>
        <v/>
      </c>
      <c r="E659">
        <f>IF(OR(Stops!A611="",Stops!E611="",Stops!F611=""),"",ROUND((Stops!F611-Stops!E611)*1440,0))</f>
        <v/>
      </c>
    </row>
    <row r="660">
      <c r="A660">
        <f>IF(Stops!A612="","",Stops!A612)</f>
        <v/>
      </c>
      <c r="B660">
        <f>IF(E660="","",IF(E660&lt;=0,"het einde ligt voor het begin",IF(E660&lt;60,"venster korter dan een uur","")))</f>
        <v/>
      </c>
      <c r="D660">
        <f>IF(A660="","",612)</f>
        <v/>
      </c>
      <c r="E660">
        <f>IF(OR(Stops!A612="",Stops!E612="",Stops!F612=""),"",ROUND((Stops!F612-Stops!E612)*1440,0))</f>
        <v/>
      </c>
    </row>
    <row r="661">
      <c r="A661">
        <f>IF(Stops!A613="","",Stops!A613)</f>
        <v/>
      </c>
      <c r="B661">
        <f>IF(E661="","",IF(E661&lt;=0,"het einde ligt voor het begin",IF(E661&lt;60,"venster korter dan een uur","")))</f>
        <v/>
      </c>
      <c r="D661">
        <f>IF(A661="","",613)</f>
        <v/>
      </c>
      <c r="E661">
        <f>IF(OR(Stops!A613="",Stops!E613="",Stops!F613=""),"",ROUND((Stops!F613-Stops!E613)*1440,0))</f>
        <v/>
      </c>
    </row>
    <row r="662">
      <c r="A662">
        <f>IF(Stops!A614="","",Stops!A614)</f>
        <v/>
      </c>
      <c r="B662">
        <f>IF(E662="","",IF(E662&lt;=0,"het einde ligt voor het begin",IF(E662&lt;60,"venster korter dan een uur","")))</f>
        <v/>
      </c>
      <c r="D662">
        <f>IF(A662="","",614)</f>
        <v/>
      </c>
      <c r="E662">
        <f>IF(OR(Stops!A614="",Stops!E614="",Stops!F614=""),"",ROUND((Stops!F614-Stops!E614)*1440,0))</f>
        <v/>
      </c>
    </row>
    <row r="663">
      <c r="A663">
        <f>IF(Stops!A615="","",Stops!A615)</f>
        <v/>
      </c>
      <c r="B663">
        <f>IF(E663="","",IF(E663&lt;=0,"het einde ligt voor het begin",IF(E663&lt;60,"venster korter dan een uur","")))</f>
        <v/>
      </c>
      <c r="D663">
        <f>IF(A663="","",615)</f>
        <v/>
      </c>
      <c r="E663">
        <f>IF(OR(Stops!A615="",Stops!E615="",Stops!F615=""),"",ROUND((Stops!F615-Stops!E615)*1440,0))</f>
        <v/>
      </c>
    </row>
    <row r="664">
      <c r="A664">
        <f>IF(Stops!A616="","",Stops!A616)</f>
        <v/>
      </c>
      <c r="B664">
        <f>IF(E664="","",IF(E664&lt;=0,"het einde ligt voor het begin",IF(E664&lt;60,"venster korter dan een uur","")))</f>
        <v/>
      </c>
      <c r="D664">
        <f>IF(A664="","",616)</f>
        <v/>
      </c>
      <c r="E664">
        <f>IF(OR(Stops!A616="",Stops!E616="",Stops!F616=""),"",ROUND((Stops!F616-Stops!E616)*1440,0))</f>
        <v/>
      </c>
    </row>
    <row r="665">
      <c r="A665">
        <f>IF(Stops!A617="","",Stops!A617)</f>
        <v/>
      </c>
      <c r="B665">
        <f>IF(E665="","",IF(E665&lt;=0,"het einde ligt voor het begin",IF(E665&lt;60,"venster korter dan een uur","")))</f>
        <v/>
      </c>
      <c r="D665">
        <f>IF(A665="","",617)</f>
        <v/>
      </c>
      <c r="E665">
        <f>IF(OR(Stops!A617="",Stops!E617="",Stops!F617=""),"",ROUND((Stops!F617-Stops!E617)*1440,0))</f>
        <v/>
      </c>
    </row>
    <row r="666">
      <c r="A666">
        <f>IF(Stops!A618="","",Stops!A618)</f>
        <v/>
      </c>
      <c r="B666">
        <f>IF(E666="","",IF(E666&lt;=0,"het einde ligt voor het begin",IF(E666&lt;60,"venster korter dan een uur","")))</f>
        <v/>
      </c>
      <c r="D666">
        <f>IF(A666="","",618)</f>
        <v/>
      </c>
      <c r="E666">
        <f>IF(OR(Stops!A618="",Stops!E618="",Stops!F618=""),"",ROUND((Stops!F618-Stops!E618)*1440,0))</f>
        <v/>
      </c>
    </row>
    <row r="667">
      <c r="A667">
        <f>IF(Stops!A619="","",Stops!A619)</f>
        <v/>
      </c>
      <c r="B667">
        <f>IF(E667="","",IF(E667&lt;=0,"het einde ligt voor het begin",IF(E667&lt;60,"venster korter dan een uur","")))</f>
        <v/>
      </c>
      <c r="D667">
        <f>IF(A667="","",619)</f>
        <v/>
      </c>
      <c r="E667">
        <f>IF(OR(Stops!A619="",Stops!E619="",Stops!F619=""),"",ROUND((Stops!F619-Stops!E619)*1440,0))</f>
        <v/>
      </c>
    </row>
    <row r="668">
      <c r="A668">
        <f>IF(Stops!A620="","",Stops!A620)</f>
        <v/>
      </c>
      <c r="B668">
        <f>IF(E668="","",IF(E668&lt;=0,"het einde ligt voor het begin",IF(E668&lt;60,"venster korter dan een uur","")))</f>
        <v/>
      </c>
      <c r="D668">
        <f>IF(A668="","",620)</f>
        <v/>
      </c>
      <c r="E668">
        <f>IF(OR(Stops!A620="",Stops!E620="",Stops!F620=""),"",ROUND((Stops!F620-Stops!E620)*1440,0))</f>
        <v/>
      </c>
    </row>
    <row r="669">
      <c r="A669">
        <f>IF(Stops!A621="","",Stops!A621)</f>
        <v/>
      </c>
      <c r="B669">
        <f>IF(E669="","",IF(E669&lt;=0,"het einde ligt voor het begin",IF(E669&lt;60,"venster korter dan een uur","")))</f>
        <v/>
      </c>
      <c r="D669">
        <f>IF(A669="","",621)</f>
        <v/>
      </c>
      <c r="E669">
        <f>IF(OR(Stops!A621="",Stops!E621="",Stops!F621=""),"",ROUND((Stops!F621-Stops!E621)*1440,0))</f>
        <v/>
      </c>
    </row>
    <row r="670">
      <c r="A670">
        <f>IF(Stops!A622="","",Stops!A622)</f>
        <v/>
      </c>
      <c r="B670">
        <f>IF(E670="","",IF(E670&lt;=0,"het einde ligt voor het begin",IF(E670&lt;60,"venster korter dan een uur","")))</f>
        <v/>
      </c>
      <c r="D670">
        <f>IF(A670="","",622)</f>
        <v/>
      </c>
      <c r="E670">
        <f>IF(OR(Stops!A622="",Stops!E622="",Stops!F622=""),"",ROUND((Stops!F622-Stops!E622)*1440,0))</f>
        <v/>
      </c>
    </row>
    <row r="671">
      <c r="A671">
        <f>IF(Stops!A623="","",Stops!A623)</f>
        <v/>
      </c>
      <c r="B671">
        <f>IF(E671="","",IF(E671&lt;=0,"het einde ligt voor het begin",IF(E671&lt;60,"venster korter dan een uur","")))</f>
        <v/>
      </c>
      <c r="D671">
        <f>IF(A671="","",623)</f>
        <v/>
      </c>
      <c r="E671">
        <f>IF(OR(Stops!A623="",Stops!E623="",Stops!F623=""),"",ROUND((Stops!F623-Stops!E623)*1440,0))</f>
        <v/>
      </c>
    </row>
    <row r="672">
      <c r="A672">
        <f>IF(Stops!A624="","",Stops!A624)</f>
        <v/>
      </c>
      <c r="B672">
        <f>IF(E672="","",IF(E672&lt;=0,"het einde ligt voor het begin",IF(E672&lt;60,"venster korter dan een uur","")))</f>
        <v/>
      </c>
      <c r="D672">
        <f>IF(A672="","",624)</f>
        <v/>
      </c>
      <c r="E672">
        <f>IF(OR(Stops!A624="",Stops!E624="",Stops!F624=""),"",ROUND((Stops!F624-Stops!E624)*1440,0))</f>
        <v/>
      </c>
    </row>
    <row r="673">
      <c r="A673">
        <f>IF(Stops!A625="","",Stops!A625)</f>
        <v/>
      </c>
      <c r="B673">
        <f>IF(E673="","",IF(E673&lt;=0,"het einde ligt voor het begin",IF(E673&lt;60,"venster korter dan een uur","")))</f>
        <v/>
      </c>
      <c r="D673">
        <f>IF(A673="","",625)</f>
        <v/>
      </c>
      <c r="E673">
        <f>IF(OR(Stops!A625="",Stops!E625="",Stops!F625=""),"",ROUND((Stops!F625-Stops!E625)*1440,0))</f>
        <v/>
      </c>
    </row>
    <row r="674">
      <c r="A674">
        <f>IF(Stops!A626="","",Stops!A626)</f>
        <v/>
      </c>
      <c r="B674">
        <f>IF(E674="","",IF(E674&lt;=0,"het einde ligt voor het begin",IF(E674&lt;60,"venster korter dan een uur","")))</f>
        <v/>
      </c>
      <c r="D674">
        <f>IF(A674="","",626)</f>
        <v/>
      </c>
      <c r="E674">
        <f>IF(OR(Stops!A626="",Stops!E626="",Stops!F626=""),"",ROUND((Stops!F626-Stops!E626)*1440,0))</f>
        <v/>
      </c>
    </row>
    <row r="675">
      <c r="A675">
        <f>IF(Stops!A627="","",Stops!A627)</f>
        <v/>
      </c>
      <c r="B675">
        <f>IF(E675="","",IF(E675&lt;=0,"het einde ligt voor het begin",IF(E675&lt;60,"venster korter dan een uur","")))</f>
        <v/>
      </c>
      <c r="D675">
        <f>IF(A675="","",627)</f>
        <v/>
      </c>
      <c r="E675">
        <f>IF(OR(Stops!A627="",Stops!E627="",Stops!F627=""),"",ROUND((Stops!F627-Stops!E627)*1440,0))</f>
        <v/>
      </c>
    </row>
    <row r="676">
      <c r="A676">
        <f>IF(Stops!A628="","",Stops!A628)</f>
        <v/>
      </c>
      <c r="B676">
        <f>IF(E676="","",IF(E676&lt;=0,"het einde ligt voor het begin",IF(E676&lt;60,"venster korter dan een uur","")))</f>
        <v/>
      </c>
      <c r="D676">
        <f>IF(A676="","",628)</f>
        <v/>
      </c>
      <c r="E676">
        <f>IF(OR(Stops!A628="",Stops!E628="",Stops!F628=""),"",ROUND((Stops!F628-Stops!E628)*1440,0))</f>
        <v/>
      </c>
    </row>
    <row r="677">
      <c r="A677">
        <f>IF(Stops!A629="","",Stops!A629)</f>
        <v/>
      </c>
      <c r="B677">
        <f>IF(E677="","",IF(E677&lt;=0,"het einde ligt voor het begin",IF(E677&lt;60,"venster korter dan een uur","")))</f>
        <v/>
      </c>
      <c r="D677">
        <f>IF(A677="","",629)</f>
        <v/>
      </c>
      <c r="E677">
        <f>IF(OR(Stops!A629="",Stops!E629="",Stops!F629=""),"",ROUND((Stops!F629-Stops!E629)*1440,0))</f>
        <v/>
      </c>
    </row>
    <row r="678">
      <c r="A678">
        <f>IF(Stops!A630="","",Stops!A630)</f>
        <v/>
      </c>
      <c r="B678">
        <f>IF(E678="","",IF(E678&lt;=0,"het einde ligt voor het begin",IF(E678&lt;60,"venster korter dan een uur","")))</f>
        <v/>
      </c>
      <c r="D678">
        <f>IF(A678="","",630)</f>
        <v/>
      </c>
      <c r="E678">
        <f>IF(OR(Stops!A630="",Stops!E630="",Stops!F630=""),"",ROUND((Stops!F630-Stops!E630)*1440,0))</f>
        <v/>
      </c>
    </row>
    <row r="679">
      <c r="A679">
        <f>IF(Stops!A631="","",Stops!A631)</f>
        <v/>
      </c>
      <c r="B679">
        <f>IF(E679="","",IF(E679&lt;=0,"het einde ligt voor het begin",IF(E679&lt;60,"venster korter dan een uur","")))</f>
        <v/>
      </c>
      <c r="D679">
        <f>IF(A679="","",631)</f>
        <v/>
      </c>
      <c r="E679">
        <f>IF(OR(Stops!A631="",Stops!E631="",Stops!F631=""),"",ROUND((Stops!F631-Stops!E631)*1440,0))</f>
        <v/>
      </c>
    </row>
    <row r="680">
      <c r="A680">
        <f>IF(Stops!A632="","",Stops!A632)</f>
        <v/>
      </c>
      <c r="B680">
        <f>IF(E680="","",IF(E680&lt;=0,"het einde ligt voor het begin",IF(E680&lt;60,"venster korter dan een uur","")))</f>
        <v/>
      </c>
      <c r="D680">
        <f>IF(A680="","",632)</f>
        <v/>
      </c>
      <c r="E680">
        <f>IF(OR(Stops!A632="",Stops!E632="",Stops!F632=""),"",ROUND((Stops!F632-Stops!E632)*1440,0))</f>
        <v/>
      </c>
    </row>
    <row r="681">
      <c r="A681">
        <f>IF(Stops!A633="","",Stops!A633)</f>
        <v/>
      </c>
      <c r="B681">
        <f>IF(E681="","",IF(E681&lt;=0,"het einde ligt voor het begin",IF(E681&lt;60,"venster korter dan een uur","")))</f>
        <v/>
      </c>
      <c r="D681">
        <f>IF(A681="","",633)</f>
        <v/>
      </c>
      <c r="E681">
        <f>IF(OR(Stops!A633="",Stops!E633="",Stops!F633=""),"",ROUND((Stops!F633-Stops!E633)*1440,0))</f>
        <v/>
      </c>
    </row>
    <row r="682">
      <c r="A682">
        <f>IF(Stops!A634="","",Stops!A634)</f>
        <v/>
      </c>
      <c r="B682">
        <f>IF(E682="","",IF(E682&lt;=0,"het einde ligt voor het begin",IF(E682&lt;60,"venster korter dan een uur","")))</f>
        <v/>
      </c>
      <c r="D682">
        <f>IF(A682="","",634)</f>
        <v/>
      </c>
      <c r="E682">
        <f>IF(OR(Stops!A634="",Stops!E634="",Stops!F634=""),"",ROUND((Stops!F634-Stops!E634)*1440,0))</f>
        <v/>
      </c>
    </row>
    <row r="683">
      <c r="A683">
        <f>IF(Stops!A635="","",Stops!A635)</f>
        <v/>
      </c>
      <c r="B683">
        <f>IF(E683="","",IF(E683&lt;=0,"het einde ligt voor het begin",IF(E683&lt;60,"venster korter dan een uur","")))</f>
        <v/>
      </c>
      <c r="D683">
        <f>IF(A683="","",635)</f>
        <v/>
      </c>
      <c r="E683">
        <f>IF(OR(Stops!A635="",Stops!E635="",Stops!F635=""),"",ROUND((Stops!F635-Stops!E635)*1440,0))</f>
        <v/>
      </c>
    </row>
    <row r="684">
      <c r="A684">
        <f>IF(Stops!A636="","",Stops!A636)</f>
        <v/>
      </c>
      <c r="B684">
        <f>IF(E684="","",IF(E684&lt;=0,"het einde ligt voor het begin",IF(E684&lt;60,"venster korter dan een uur","")))</f>
        <v/>
      </c>
      <c r="D684">
        <f>IF(A684="","",636)</f>
        <v/>
      </c>
      <c r="E684">
        <f>IF(OR(Stops!A636="",Stops!E636="",Stops!F636=""),"",ROUND((Stops!F636-Stops!E636)*1440,0))</f>
        <v/>
      </c>
    </row>
    <row r="685">
      <c r="A685">
        <f>IF(Stops!A637="","",Stops!A637)</f>
        <v/>
      </c>
      <c r="B685">
        <f>IF(E685="","",IF(E685&lt;=0,"het einde ligt voor het begin",IF(E685&lt;60,"venster korter dan een uur","")))</f>
        <v/>
      </c>
      <c r="D685">
        <f>IF(A685="","",637)</f>
        <v/>
      </c>
      <c r="E685">
        <f>IF(OR(Stops!A637="",Stops!E637="",Stops!F637=""),"",ROUND((Stops!F637-Stops!E637)*1440,0))</f>
        <v/>
      </c>
    </row>
    <row r="686">
      <c r="A686">
        <f>IF(Stops!A638="","",Stops!A638)</f>
        <v/>
      </c>
      <c r="B686">
        <f>IF(E686="","",IF(E686&lt;=0,"het einde ligt voor het begin",IF(E686&lt;60,"venster korter dan een uur","")))</f>
        <v/>
      </c>
      <c r="D686">
        <f>IF(A686="","",638)</f>
        <v/>
      </c>
      <c r="E686">
        <f>IF(OR(Stops!A638="",Stops!E638="",Stops!F638=""),"",ROUND((Stops!F638-Stops!E638)*1440,0))</f>
        <v/>
      </c>
    </row>
    <row r="687">
      <c r="A687">
        <f>IF(Stops!A639="","",Stops!A639)</f>
        <v/>
      </c>
      <c r="B687">
        <f>IF(E687="","",IF(E687&lt;=0,"het einde ligt voor het begin",IF(E687&lt;60,"venster korter dan een uur","")))</f>
        <v/>
      </c>
      <c r="D687">
        <f>IF(A687="","",639)</f>
        <v/>
      </c>
      <c r="E687">
        <f>IF(OR(Stops!A639="",Stops!E639="",Stops!F639=""),"",ROUND((Stops!F639-Stops!E639)*1440,0))</f>
        <v/>
      </c>
    </row>
    <row r="688">
      <c r="A688">
        <f>IF(Stops!A640="","",Stops!A640)</f>
        <v/>
      </c>
      <c r="B688">
        <f>IF(E688="","",IF(E688&lt;=0,"het einde ligt voor het begin",IF(E688&lt;60,"venster korter dan een uur","")))</f>
        <v/>
      </c>
      <c r="D688">
        <f>IF(A688="","",640)</f>
        <v/>
      </c>
      <c r="E688">
        <f>IF(OR(Stops!A640="",Stops!E640="",Stops!F640=""),"",ROUND((Stops!F640-Stops!E640)*1440,0))</f>
        <v/>
      </c>
    </row>
    <row r="689">
      <c r="A689">
        <f>IF(Stops!A641="","",Stops!A641)</f>
        <v/>
      </c>
      <c r="B689">
        <f>IF(E689="","",IF(E689&lt;=0,"het einde ligt voor het begin",IF(E689&lt;60,"venster korter dan een uur","")))</f>
        <v/>
      </c>
      <c r="D689">
        <f>IF(A689="","",641)</f>
        <v/>
      </c>
      <c r="E689">
        <f>IF(OR(Stops!A641="",Stops!E641="",Stops!F641=""),"",ROUND((Stops!F641-Stops!E641)*1440,0))</f>
        <v/>
      </c>
    </row>
    <row r="690">
      <c r="A690">
        <f>IF(Stops!A642="","",Stops!A642)</f>
        <v/>
      </c>
      <c r="B690">
        <f>IF(E690="","",IF(E690&lt;=0,"het einde ligt voor het begin",IF(E690&lt;60,"venster korter dan een uur","")))</f>
        <v/>
      </c>
      <c r="D690">
        <f>IF(A690="","",642)</f>
        <v/>
      </c>
      <c r="E690">
        <f>IF(OR(Stops!A642="",Stops!E642="",Stops!F642=""),"",ROUND((Stops!F642-Stops!E642)*1440,0))</f>
        <v/>
      </c>
    </row>
    <row r="691">
      <c r="A691">
        <f>IF(Stops!A643="","",Stops!A643)</f>
        <v/>
      </c>
      <c r="B691">
        <f>IF(E691="","",IF(E691&lt;=0,"het einde ligt voor het begin",IF(E691&lt;60,"venster korter dan een uur","")))</f>
        <v/>
      </c>
      <c r="D691">
        <f>IF(A691="","",643)</f>
        <v/>
      </c>
      <c r="E691">
        <f>IF(OR(Stops!A643="",Stops!E643="",Stops!F643=""),"",ROUND((Stops!F643-Stops!E643)*1440,0))</f>
        <v/>
      </c>
    </row>
    <row r="692">
      <c r="A692">
        <f>IF(Stops!A644="","",Stops!A644)</f>
        <v/>
      </c>
      <c r="B692">
        <f>IF(E692="","",IF(E692&lt;=0,"het einde ligt voor het begin",IF(E692&lt;60,"venster korter dan een uur","")))</f>
        <v/>
      </c>
      <c r="D692">
        <f>IF(A692="","",644)</f>
        <v/>
      </c>
      <c r="E692">
        <f>IF(OR(Stops!A644="",Stops!E644="",Stops!F644=""),"",ROUND((Stops!F644-Stops!E644)*1440,0))</f>
        <v/>
      </c>
    </row>
    <row r="693">
      <c r="A693">
        <f>IF(Stops!A645="","",Stops!A645)</f>
        <v/>
      </c>
      <c r="B693">
        <f>IF(E693="","",IF(E693&lt;=0,"het einde ligt voor het begin",IF(E693&lt;60,"venster korter dan een uur","")))</f>
        <v/>
      </c>
      <c r="D693">
        <f>IF(A693="","",645)</f>
        <v/>
      </c>
      <c r="E693">
        <f>IF(OR(Stops!A645="",Stops!E645="",Stops!F645=""),"",ROUND((Stops!F645-Stops!E645)*1440,0))</f>
        <v/>
      </c>
    </row>
    <row r="694">
      <c r="A694">
        <f>IF(Stops!A646="","",Stops!A646)</f>
        <v/>
      </c>
      <c r="B694">
        <f>IF(E694="","",IF(E694&lt;=0,"het einde ligt voor het begin",IF(E694&lt;60,"venster korter dan een uur","")))</f>
        <v/>
      </c>
      <c r="D694">
        <f>IF(A694="","",646)</f>
        <v/>
      </c>
      <c r="E694">
        <f>IF(OR(Stops!A646="",Stops!E646="",Stops!F646=""),"",ROUND((Stops!F646-Stops!E646)*1440,0))</f>
        <v/>
      </c>
    </row>
    <row r="695">
      <c r="A695">
        <f>IF(Stops!A647="","",Stops!A647)</f>
        <v/>
      </c>
      <c r="B695">
        <f>IF(E695="","",IF(E695&lt;=0,"het einde ligt voor het begin",IF(E695&lt;60,"venster korter dan een uur","")))</f>
        <v/>
      </c>
      <c r="D695">
        <f>IF(A695="","",647)</f>
        <v/>
      </c>
      <c r="E695">
        <f>IF(OR(Stops!A647="",Stops!E647="",Stops!F647=""),"",ROUND((Stops!F647-Stops!E647)*1440,0))</f>
        <v/>
      </c>
    </row>
    <row r="696">
      <c r="A696">
        <f>IF(Stops!A648="","",Stops!A648)</f>
        <v/>
      </c>
      <c r="B696">
        <f>IF(E696="","",IF(E696&lt;=0,"het einde ligt voor het begin",IF(E696&lt;60,"venster korter dan een uur","")))</f>
        <v/>
      </c>
      <c r="D696">
        <f>IF(A696="","",648)</f>
        <v/>
      </c>
      <c r="E696">
        <f>IF(OR(Stops!A648="",Stops!E648="",Stops!F648=""),"",ROUND((Stops!F648-Stops!E648)*1440,0))</f>
        <v/>
      </c>
    </row>
    <row r="697">
      <c r="A697">
        <f>IF(Stops!A649="","",Stops!A649)</f>
        <v/>
      </c>
      <c r="B697">
        <f>IF(E697="","",IF(E697&lt;=0,"het einde ligt voor het begin",IF(E697&lt;60,"venster korter dan een uur","")))</f>
        <v/>
      </c>
      <c r="D697">
        <f>IF(A697="","",649)</f>
        <v/>
      </c>
      <c r="E697">
        <f>IF(OR(Stops!A649="",Stops!E649="",Stops!F649=""),"",ROUND((Stops!F649-Stops!E649)*1440,0))</f>
        <v/>
      </c>
    </row>
    <row r="698">
      <c r="A698">
        <f>IF(Stops!A650="","",Stops!A650)</f>
        <v/>
      </c>
      <c r="B698">
        <f>IF(E698="","",IF(E698&lt;=0,"het einde ligt voor het begin",IF(E698&lt;60,"venster korter dan een uur","")))</f>
        <v/>
      </c>
      <c r="D698">
        <f>IF(A698="","",650)</f>
        <v/>
      </c>
      <c r="E698">
        <f>IF(OR(Stops!A650="",Stops!E650="",Stops!F650=""),"",ROUND((Stops!F650-Stops!E650)*1440,0))</f>
        <v/>
      </c>
    </row>
    <row r="699">
      <c r="A699">
        <f>IF(Stops!A651="","",Stops!A651)</f>
        <v/>
      </c>
      <c r="B699">
        <f>IF(E699="","",IF(E699&lt;=0,"het einde ligt voor het begin",IF(E699&lt;60,"venster korter dan een uur","")))</f>
        <v/>
      </c>
      <c r="D699">
        <f>IF(A699="","",651)</f>
        <v/>
      </c>
      <c r="E699">
        <f>IF(OR(Stops!A651="",Stops!E651="",Stops!F651=""),"",ROUND((Stops!F651-Stops!E651)*1440,0))</f>
        <v/>
      </c>
    </row>
    <row r="700">
      <c r="A700">
        <f>IF(Stops!A652="","",Stops!A652)</f>
        <v/>
      </c>
      <c r="B700">
        <f>IF(E700="","",IF(E700&lt;=0,"het einde ligt voor het begin",IF(E700&lt;60,"venster korter dan een uur","")))</f>
        <v/>
      </c>
      <c r="D700">
        <f>IF(A700="","",652)</f>
        <v/>
      </c>
      <c r="E700">
        <f>IF(OR(Stops!A652="",Stops!E652="",Stops!F652=""),"",ROUND((Stops!F652-Stops!E652)*1440,0))</f>
        <v/>
      </c>
    </row>
    <row r="701">
      <c r="A701">
        <f>IF(Stops!A653="","",Stops!A653)</f>
        <v/>
      </c>
      <c r="B701">
        <f>IF(E701="","",IF(E701&lt;=0,"het einde ligt voor het begin",IF(E701&lt;60,"venster korter dan een uur","")))</f>
        <v/>
      </c>
      <c r="D701">
        <f>IF(A701="","",653)</f>
        <v/>
      </c>
      <c r="E701">
        <f>IF(OR(Stops!A653="",Stops!E653="",Stops!F653=""),"",ROUND((Stops!F653-Stops!E653)*1440,0))</f>
        <v/>
      </c>
    </row>
    <row r="702">
      <c r="A702">
        <f>IF(Stops!A654="","",Stops!A654)</f>
        <v/>
      </c>
      <c r="B702">
        <f>IF(E702="","",IF(E702&lt;=0,"het einde ligt voor het begin",IF(E702&lt;60,"venster korter dan een uur","")))</f>
        <v/>
      </c>
      <c r="D702">
        <f>IF(A702="","",654)</f>
        <v/>
      </c>
      <c r="E702">
        <f>IF(OR(Stops!A654="",Stops!E654="",Stops!F654=""),"",ROUND((Stops!F654-Stops!E654)*1440,0))</f>
        <v/>
      </c>
    </row>
    <row r="703">
      <c r="A703">
        <f>IF(Stops!A655="","",Stops!A655)</f>
        <v/>
      </c>
      <c r="B703">
        <f>IF(E703="","",IF(E703&lt;=0,"het einde ligt voor het begin",IF(E703&lt;60,"venster korter dan een uur","")))</f>
        <v/>
      </c>
      <c r="D703">
        <f>IF(A703="","",655)</f>
        <v/>
      </c>
      <c r="E703">
        <f>IF(OR(Stops!A655="",Stops!E655="",Stops!F655=""),"",ROUND((Stops!F655-Stops!E655)*1440,0))</f>
        <v/>
      </c>
    </row>
    <row r="704">
      <c r="A704">
        <f>IF(Stops!A656="","",Stops!A656)</f>
        <v/>
      </c>
      <c r="B704">
        <f>IF(E704="","",IF(E704&lt;=0,"het einde ligt voor het begin",IF(E704&lt;60,"venster korter dan een uur","")))</f>
        <v/>
      </c>
      <c r="D704">
        <f>IF(A704="","",656)</f>
        <v/>
      </c>
      <c r="E704">
        <f>IF(OR(Stops!A656="",Stops!E656="",Stops!F656=""),"",ROUND((Stops!F656-Stops!E656)*1440,0))</f>
        <v/>
      </c>
    </row>
    <row r="705">
      <c r="A705">
        <f>IF(Stops!A657="","",Stops!A657)</f>
        <v/>
      </c>
      <c r="B705">
        <f>IF(E705="","",IF(E705&lt;=0,"het einde ligt voor het begin",IF(E705&lt;60,"venster korter dan een uur","")))</f>
        <v/>
      </c>
      <c r="D705">
        <f>IF(A705="","",657)</f>
        <v/>
      </c>
      <c r="E705">
        <f>IF(OR(Stops!A657="",Stops!E657="",Stops!F657=""),"",ROUND((Stops!F657-Stops!E657)*1440,0))</f>
        <v/>
      </c>
    </row>
    <row r="706">
      <c r="A706">
        <f>IF(Stops!A658="","",Stops!A658)</f>
        <v/>
      </c>
      <c r="B706">
        <f>IF(E706="","",IF(E706&lt;=0,"het einde ligt voor het begin",IF(E706&lt;60,"venster korter dan een uur","")))</f>
        <v/>
      </c>
      <c r="D706">
        <f>IF(A706="","",658)</f>
        <v/>
      </c>
      <c r="E706">
        <f>IF(OR(Stops!A658="",Stops!E658="",Stops!F658=""),"",ROUND((Stops!F658-Stops!E658)*1440,0))</f>
        <v/>
      </c>
    </row>
    <row r="707">
      <c r="A707">
        <f>IF(Stops!A659="","",Stops!A659)</f>
        <v/>
      </c>
      <c r="B707">
        <f>IF(E707="","",IF(E707&lt;=0,"het einde ligt voor het begin",IF(E707&lt;60,"venster korter dan een uur","")))</f>
        <v/>
      </c>
      <c r="D707">
        <f>IF(A707="","",659)</f>
        <v/>
      </c>
      <c r="E707">
        <f>IF(OR(Stops!A659="",Stops!E659="",Stops!F659=""),"",ROUND((Stops!F659-Stops!E659)*1440,0))</f>
        <v/>
      </c>
    </row>
    <row r="708">
      <c r="A708">
        <f>IF(Stops!A660="","",Stops!A660)</f>
        <v/>
      </c>
      <c r="B708">
        <f>IF(E708="","",IF(E708&lt;=0,"het einde ligt voor het begin",IF(E708&lt;60,"venster korter dan een uur","")))</f>
        <v/>
      </c>
      <c r="D708">
        <f>IF(A708="","",660)</f>
        <v/>
      </c>
      <c r="E708">
        <f>IF(OR(Stops!A660="",Stops!E660="",Stops!F660=""),"",ROUND((Stops!F660-Stops!E660)*1440,0))</f>
        <v/>
      </c>
    </row>
    <row r="709">
      <c r="A709">
        <f>IF(Stops!A661="","",Stops!A661)</f>
        <v/>
      </c>
      <c r="B709">
        <f>IF(E709="","",IF(E709&lt;=0,"het einde ligt voor het begin",IF(E709&lt;60,"venster korter dan een uur","")))</f>
        <v/>
      </c>
      <c r="D709">
        <f>IF(A709="","",661)</f>
        <v/>
      </c>
      <c r="E709">
        <f>IF(OR(Stops!A661="",Stops!E661="",Stops!F661=""),"",ROUND((Stops!F661-Stops!E661)*1440,0))</f>
        <v/>
      </c>
    </row>
    <row r="710">
      <c r="A710">
        <f>IF(Stops!A662="","",Stops!A662)</f>
        <v/>
      </c>
      <c r="B710">
        <f>IF(E710="","",IF(E710&lt;=0,"het einde ligt voor het begin",IF(E710&lt;60,"venster korter dan een uur","")))</f>
        <v/>
      </c>
      <c r="D710">
        <f>IF(A710="","",662)</f>
        <v/>
      </c>
      <c r="E710">
        <f>IF(OR(Stops!A662="",Stops!E662="",Stops!F662=""),"",ROUND((Stops!F662-Stops!E662)*1440,0))</f>
        <v/>
      </c>
    </row>
    <row r="711">
      <c r="A711">
        <f>IF(Stops!A663="","",Stops!A663)</f>
        <v/>
      </c>
      <c r="B711">
        <f>IF(E711="","",IF(E711&lt;=0,"het einde ligt voor het begin",IF(E711&lt;60,"venster korter dan een uur","")))</f>
        <v/>
      </c>
      <c r="D711">
        <f>IF(A711="","",663)</f>
        <v/>
      </c>
      <c r="E711">
        <f>IF(OR(Stops!A663="",Stops!E663="",Stops!F663=""),"",ROUND((Stops!F663-Stops!E663)*1440,0))</f>
        <v/>
      </c>
    </row>
    <row r="712">
      <c r="A712">
        <f>IF(Stops!A664="","",Stops!A664)</f>
        <v/>
      </c>
      <c r="B712">
        <f>IF(E712="","",IF(E712&lt;=0,"het einde ligt voor het begin",IF(E712&lt;60,"venster korter dan een uur","")))</f>
        <v/>
      </c>
      <c r="D712">
        <f>IF(A712="","",664)</f>
        <v/>
      </c>
      <c r="E712">
        <f>IF(OR(Stops!A664="",Stops!E664="",Stops!F664=""),"",ROUND((Stops!F664-Stops!E664)*1440,0))</f>
        <v/>
      </c>
    </row>
    <row r="713">
      <c r="A713">
        <f>IF(Stops!A665="","",Stops!A665)</f>
        <v/>
      </c>
      <c r="B713">
        <f>IF(E713="","",IF(E713&lt;=0,"het einde ligt voor het begin",IF(E713&lt;60,"venster korter dan een uur","")))</f>
        <v/>
      </c>
      <c r="D713">
        <f>IF(A713="","",665)</f>
        <v/>
      </c>
      <c r="E713">
        <f>IF(OR(Stops!A665="",Stops!E665="",Stops!F665=""),"",ROUND((Stops!F665-Stops!E665)*1440,0))</f>
        <v/>
      </c>
    </row>
    <row r="714">
      <c r="A714">
        <f>IF(Stops!A666="","",Stops!A666)</f>
        <v/>
      </c>
      <c r="B714">
        <f>IF(E714="","",IF(E714&lt;=0,"het einde ligt voor het begin",IF(E714&lt;60,"venster korter dan een uur","")))</f>
        <v/>
      </c>
      <c r="D714">
        <f>IF(A714="","",666)</f>
        <v/>
      </c>
      <c r="E714">
        <f>IF(OR(Stops!A666="",Stops!E666="",Stops!F666=""),"",ROUND((Stops!F666-Stops!E666)*1440,0))</f>
        <v/>
      </c>
    </row>
    <row r="715">
      <c r="A715">
        <f>IF(Stops!A667="","",Stops!A667)</f>
        <v/>
      </c>
      <c r="B715">
        <f>IF(E715="","",IF(E715&lt;=0,"het einde ligt voor het begin",IF(E715&lt;60,"venster korter dan een uur","")))</f>
        <v/>
      </c>
      <c r="D715">
        <f>IF(A715="","",667)</f>
        <v/>
      </c>
      <c r="E715">
        <f>IF(OR(Stops!A667="",Stops!E667="",Stops!F667=""),"",ROUND((Stops!F667-Stops!E667)*1440,0))</f>
        <v/>
      </c>
    </row>
    <row r="716">
      <c r="A716">
        <f>IF(Stops!A668="","",Stops!A668)</f>
        <v/>
      </c>
      <c r="B716">
        <f>IF(E716="","",IF(E716&lt;=0,"het einde ligt voor het begin",IF(E716&lt;60,"venster korter dan een uur","")))</f>
        <v/>
      </c>
      <c r="D716">
        <f>IF(A716="","",668)</f>
        <v/>
      </c>
      <c r="E716">
        <f>IF(OR(Stops!A668="",Stops!E668="",Stops!F668=""),"",ROUND((Stops!F668-Stops!E668)*1440,0))</f>
        <v/>
      </c>
    </row>
    <row r="717">
      <c r="A717">
        <f>IF(Stops!A669="","",Stops!A669)</f>
        <v/>
      </c>
      <c r="B717">
        <f>IF(E717="","",IF(E717&lt;=0,"het einde ligt voor het begin",IF(E717&lt;60,"venster korter dan een uur","")))</f>
        <v/>
      </c>
      <c r="D717">
        <f>IF(A717="","",669)</f>
        <v/>
      </c>
      <c r="E717">
        <f>IF(OR(Stops!A669="",Stops!E669="",Stops!F669=""),"",ROUND((Stops!F669-Stops!E669)*1440,0))</f>
        <v/>
      </c>
    </row>
    <row r="718">
      <c r="A718">
        <f>IF(Stops!A670="","",Stops!A670)</f>
        <v/>
      </c>
      <c r="B718">
        <f>IF(E718="","",IF(E718&lt;=0,"het einde ligt voor het begin",IF(E718&lt;60,"venster korter dan een uur","")))</f>
        <v/>
      </c>
      <c r="D718">
        <f>IF(A718="","",670)</f>
        <v/>
      </c>
      <c r="E718">
        <f>IF(OR(Stops!A670="",Stops!E670="",Stops!F670=""),"",ROUND((Stops!F670-Stops!E670)*1440,0))</f>
        <v/>
      </c>
    </row>
    <row r="719">
      <c r="A719">
        <f>IF(Stops!A671="","",Stops!A671)</f>
        <v/>
      </c>
      <c r="B719">
        <f>IF(E719="","",IF(E719&lt;=0,"het einde ligt voor het begin",IF(E719&lt;60,"venster korter dan een uur","")))</f>
        <v/>
      </c>
      <c r="D719">
        <f>IF(A719="","",671)</f>
        <v/>
      </c>
      <c r="E719">
        <f>IF(OR(Stops!A671="",Stops!E671="",Stops!F671=""),"",ROUND((Stops!F671-Stops!E671)*1440,0))</f>
        <v/>
      </c>
    </row>
    <row r="720">
      <c r="A720">
        <f>IF(Stops!A672="","",Stops!A672)</f>
        <v/>
      </c>
      <c r="B720">
        <f>IF(E720="","",IF(E720&lt;=0,"het einde ligt voor het begin",IF(E720&lt;60,"venster korter dan een uur","")))</f>
        <v/>
      </c>
      <c r="D720">
        <f>IF(A720="","",672)</f>
        <v/>
      </c>
      <c r="E720">
        <f>IF(OR(Stops!A672="",Stops!E672="",Stops!F672=""),"",ROUND((Stops!F672-Stops!E672)*1440,0))</f>
        <v/>
      </c>
    </row>
    <row r="721">
      <c r="A721">
        <f>IF(Stops!A673="","",Stops!A673)</f>
        <v/>
      </c>
      <c r="B721">
        <f>IF(E721="","",IF(E721&lt;=0,"het einde ligt voor het begin",IF(E721&lt;60,"venster korter dan een uur","")))</f>
        <v/>
      </c>
      <c r="D721">
        <f>IF(A721="","",673)</f>
        <v/>
      </c>
      <c r="E721">
        <f>IF(OR(Stops!A673="",Stops!E673="",Stops!F673=""),"",ROUND((Stops!F673-Stops!E673)*1440,0))</f>
        <v/>
      </c>
    </row>
    <row r="722">
      <c r="A722">
        <f>IF(Stops!A674="","",Stops!A674)</f>
        <v/>
      </c>
      <c r="B722">
        <f>IF(E722="","",IF(E722&lt;=0,"het einde ligt voor het begin",IF(E722&lt;60,"venster korter dan een uur","")))</f>
        <v/>
      </c>
      <c r="D722">
        <f>IF(A722="","",674)</f>
        <v/>
      </c>
      <c r="E722">
        <f>IF(OR(Stops!A674="",Stops!E674="",Stops!F674=""),"",ROUND((Stops!F674-Stops!E674)*1440,0))</f>
        <v/>
      </c>
    </row>
    <row r="723">
      <c r="A723">
        <f>IF(Stops!A675="","",Stops!A675)</f>
        <v/>
      </c>
      <c r="B723">
        <f>IF(E723="","",IF(E723&lt;=0,"het einde ligt voor het begin",IF(E723&lt;60,"venster korter dan een uur","")))</f>
        <v/>
      </c>
      <c r="D723">
        <f>IF(A723="","",675)</f>
        <v/>
      </c>
      <c r="E723">
        <f>IF(OR(Stops!A675="",Stops!E675="",Stops!F675=""),"",ROUND((Stops!F675-Stops!E675)*1440,0))</f>
        <v/>
      </c>
    </row>
    <row r="724">
      <c r="A724">
        <f>IF(Stops!A676="","",Stops!A676)</f>
        <v/>
      </c>
      <c r="B724">
        <f>IF(E724="","",IF(E724&lt;=0,"het einde ligt voor het begin",IF(E724&lt;60,"venster korter dan een uur","")))</f>
        <v/>
      </c>
      <c r="D724">
        <f>IF(A724="","",676)</f>
        <v/>
      </c>
      <c r="E724">
        <f>IF(OR(Stops!A676="",Stops!E676="",Stops!F676=""),"",ROUND((Stops!F676-Stops!E676)*1440,0))</f>
        <v/>
      </c>
    </row>
    <row r="725">
      <c r="A725">
        <f>IF(Stops!A677="","",Stops!A677)</f>
        <v/>
      </c>
      <c r="B725">
        <f>IF(E725="","",IF(E725&lt;=0,"het einde ligt voor het begin",IF(E725&lt;60,"venster korter dan een uur","")))</f>
        <v/>
      </c>
      <c r="D725">
        <f>IF(A725="","",677)</f>
        <v/>
      </c>
      <c r="E725">
        <f>IF(OR(Stops!A677="",Stops!E677="",Stops!F677=""),"",ROUND((Stops!F677-Stops!E677)*1440,0))</f>
        <v/>
      </c>
    </row>
    <row r="726">
      <c r="A726">
        <f>IF(Stops!A678="","",Stops!A678)</f>
        <v/>
      </c>
      <c r="B726">
        <f>IF(E726="","",IF(E726&lt;=0,"het einde ligt voor het begin",IF(E726&lt;60,"venster korter dan een uur","")))</f>
        <v/>
      </c>
      <c r="D726">
        <f>IF(A726="","",678)</f>
        <v/>
      </c>
      <c r="E726">
        <f>IF(OR(Stops!A678="",Stops!E678="",Stops!F678=""),"",ROUND((Stops!F678-Stops!E678)*1440,0))</f>
        <v/>
      </c>
    </row>
    <row r="727">
      <c r="A727">
        <f>IF(Stops!A679="","",Stops!A679)</f>
        <v/>
      </c>
      <c r="B727">
        <f>IF(E727="","",IF(E727&lt;=0,"het einde ligt voor het begin",IF(E727&lt;60,"venster korter dan een uur","")))</f>
        <v/>
      </c>
      <c r="D727">
        <f>IF(A727="","",679)</f>
        <v/>
      </c>
      <c r="E727">
        <f>IF(OR(Stops!A679="",Stops!E679="",Stops!F679=""),"",ROUND((Stops!F679-Stops!E679)*1440,0))</f>
        <v/>
      </c>
    </row>
    <row r="728">
      <c r="A728">
        <f>IF(Stops!A680="","",Stops!A680)</f>
        <v/>
      </c>
      <c r="B728">
        <f>IF(E728="","",IF(E728&lt;=0,"het einde ligt voor het begin",IF(E728&lt;60,"venster korter dan een uur","")))</f>
        <v/>
      </c>
      <c r="D728">
        <f>IF(A728="","",680)</f>
        <v/>
      </c>
      <c r="E728">
        <f>IF(OR(Stops!A680="",Stops!E680="",Stops!F680=""),"",ROUND((Stops!F680-Stops!E680)*1440,0))</f>
        <v/>
      </c>
    </row>
    <row r="729">
      <c r="A729">
        <f>IF(Stops!A681="","",Stops!A681)</f>
        <v/>
      </c>
      <c r="B729">
        <f>IF(E729="","",IF(E729&lt;=0,"het einde ligt voor het begin",IF(E729&lt;60,"venster korter dan een uur","")))</f>
        <v/>
      </c>
      <c r="D729">
        <f>IF(A729="","",681)</f>
        <v/>
      </c>
      <c r="E729">
        <f>IF(OR(Stops!A681="",Stops!E681="",Stops!F681=""),"",ROUND((Stops!F681-Stops!E681)*1440,0))</f>
        <v/>
      </c>
    </row>
    <row r="730">
      <c r="A730">
        <f>IF(Stops!A682="","",Stops!A682)</f>
        <v/>
      </c>
      <c r="B730">
        <f>IF(E730="","",IF(E730&lt;=0,"het einde ligt voor het begin",IF(E730&lt;60,"venster korter dan een uur","")))</f>
        <v/>
      </c>
      <c r="D730">
        <f>IF(A730="","",682)</f>
        <v/>
      </c>
      <c r="E730">
        <f>IF(OR(Stops!A682="",Stops!E682="",Stops!F682=""),"",ROUND((Stops!F682-Stops!E682)*1440,0))</f>
        <v/>
      </c>
    </row>
    <row r="731">
      <c r="A731">
        <f>IF(Stops!A683="","",Stops!A683)</f>
        <v/>
      </c>
      <c r="B731">
        <f>IF(E731="","",IF(E731&lt;=0,"het einde ligt voor het begin",IF(E731&lt;60,"venster korter dan een uur","")))</f>
        <v/>
      </c>
      <c r="D731">
        <f>IF(A731="","",683)</f>
        <v/>
      </c>
      <c r="E731">
        <f>IF(OR(Stops!A683="",Stops!E683="",Stops!F683=""),"",ROUND((Stops!F683-Stops!E683)*1440,0))</f>
        <v/>
      </c>
    </row>
    <row r="732">
      <c r="A732">
        <f>IF(Stops!A684="","",Stops!A684)</f>
        <v/>
      </c>
      <c r="B732">
        <f>IF(E732="","",IF(E732&lt;=0,"het einde ligt voor het begin",IF(E732&lt;60,"venster korter dan een uur","")))</f>
        <v/>
      </c>
      <c r="D732">
        <f>IF(A732="","",684)</f>
        <v/>
      </c>
      <c r="E732">
        <f>IF(OR(Stops!A684="",Stops!E684="",Stops!F684=""),"",ROUND((Stops!F684-Stops!E684)*1440,0))</f>
        <v/>
      </c>
    </row>
    <row r="733">
      <c r="A733">
        <f>IF(Stops!A685="","",Stops!A685)</f>
        <v/>
      </c>
      <c r="B733">
        <f>IF(E733="","",IF(E733&lt;=0,"het einde ligt voor het begin",IF(E733&lt;60,"venster korter dan een uur","")))</f>
        <v/>
      </c>
      <c r="D733">
        <f>IF(A733="","",685)</f>
        <v/>
      </c>
      <c r="E733">
        <f>IF(OR(Stops!A685="",Stops!E685="",Stops!F685=""),"",ROUND((Stops!F685-Stops!E685)*1440,0))</f>
        <v/>
      </c>
    </row>
    <row r="734">
      <c r="A734">
        <f>IF(Stops!A686="","",Stops!A686)</f>
        <v/>
      </c>
      <c r="B734">
        <f>IF(E734="","",IF(E734&lt;=0,"het einde ligt voor het begin",IF(E734&lt;60,"venster korter dan een uur","")))</f>
        <v/>
      </c>
      <c r="D734">
        <f>IF(A734="","",686)</f>
        <v/>
      </c>
      <c r="E734">
        <f>IF(OR(Stops!A686="",Stops!E686="",Stops!F686=""),"",ROUND((Stops!F686-Stops!E686)*1440,0))</f>
        <v/>
      </c>
    </row>
    <row r="735">
      <c r="A735">
        <f>IF(Stops!A687="","",Stops!A687)</f>
        <v/>
      </c>
      <c r="B735">
        <f>IF(E735="","",IF(E735&lt;=0,"het einde ligt voor het begin",IF(E735&lt;60,"venster korter dan een uur","")))</f>
        <v/>
      </c>
      <c r="D735">
        <f>IF(A735="","",687)</f>
        <v/>
      </c>
      <c r="E735">
        <f>IF(OR(Stops!A687="",Stops!E687="",Stops!F687=""),"",ROUND((Stops!F687-Stops!E687)*1440,0))</f>
        <v/>
      </c>
    </row>
    <row r="736">
      <c r="A736">
        <f>IF(Stops!A688="","",Stops!A688)</f>
        <v/>
      </c>
      <c r="B736">
        <f>IF(E736="","",IF(E736&lt;=0,"het einde ligt voor het begin",IF(E736&lt;60,"venster korter dan een uur","")))</f>
        <v/>
      </c>
      <c r="D736">
        <f>IF(A736="","",688)</f>
        <v/>
      </c>
      <c r="E736">
        <f>IF(OR(Stops!A688="",Stops!E688="",Stops!F688=""),"",ROUND((Stops!F688-Stops!E688)*1440,0))</f>
        <v/>
      </c>
    </row>
    <row r="737">
      <c r="A737">
        <f>IF(Stops!A689="","",Stops!A689)</f>
        <v/>
      </c>
      <c r="B737">
        <f>IF(E737="","",IF(E737&lt;=0,"het einde ligt voor het begin",IF(E737&lt;60,"venster korter dan een uur","")))</f>
        <v/>
      </c>
      <c r="D737">
        <f>IF(A737="","",689)</f>
        <v/>
      </c>
      <c r="E737">
        <f>IF(OR(Stops!A689="",Stops!E689="",Stops!F689=""),"",ROUND((Stops!F689-Stops!E689)*1440,0))</f>
        <v/>
      </c>
    </row>
    <row r="738">
      <c r="A738">
        <f>IF(Stops!A690="","",Stops!A690)</f>
        <v/>
      </c>
      <c r="B738">
        <f>IF(E738="","",IF(E738&lt;=0,"het einde ligt voor het begin",IF(E738&lt;60,"venster korter dan een uur","")))</f>
        <v/>
      </c>
      <c r="D738">
        <f>IF(A738="","",690)</f>
        <v/>
      </c>
      <c r="E738">
        <f>IF(OR(Stops!A690="",Stops!E690="",Stops!F690=""),"",ROUND((Stops!F690-Stops!E690)*1440,0))</f>
        <v/>
      </c>
    </row>
    <row r="739">
      <c r="A739">
        <f>IF(Stops!A691="","",Stops!A691)</f>
        <v/>
      </c>
      <c r="B739">
        <f>IF(E739="","",IF(E739&lt;=0,"het einde ligt voor het begin",IF(E739&lt;60,"venster korter dan een uur","")))</f>
        <v/>
      </c>
      <c r="D739">
        <f>IF(A739="","",691)</f>
        <v/>
      </c>
      <c r="E739">
        <f>IF(OR(Stops!A691="",Stops!E691="",Stops!F691=""),"",ROUND((Stops!F691-Stops!E691)*1440,0))</f>
        <v/>
      </c>
    </row>
    <row r="740">
      <c r="A740">
        <f>IF(Stops!A692="","",Stops!A692)</f>
        <v/>
      </c>
      <c r="B740">
        <f>IF(E740="","",IF(E740&lt;=0,"het einde ligt voor het begin",IF(E740&lt;60,"venster korter dan een uur","")))</f>
        <v/>
      </c>
      <c r="D740">
        <f>IF(A740="","",692)</f>
        <v/>
      </c>
      <c r="E740">
        <f>IF(OR(Stops!A692="",Stops!E692="",Stops!F692=""),"",ROUND((Stops!F692-Stops!E692)*1440,0))</f>
        <v/>
      </c>
    </row>
    <row r="741">
      <c r="A741">
        <f>IF(Stops!A693="","",Stops!A693)</f>
        <v/>
      </c>
      <c r="B741">
        <f>IF(E741="","",IF(E741&lt;=0,"het einde ligt voor het begin",IF(E741&lt;60,"venster korter dan een uur","")))</f>
        <v/>
      </c>
      <c r="D741">
        <f>IF(A741="","",693)</f>
        <v/>
      </c>
      <c r="E741">
        <f>IF(OR(Stops!A693="",Stops!E693="",Stops!F693=""),"",ROUND((Stops!F693-Stops!E693)*1440,0))</f>
        <v/>
      </c>
    </row>
    <row r="742">
      <c r="A742">
        <f>IF(Stops!A694="","",Stops!A694)</f>
        <v/>
      </c>
      <c r="B742">
        <f>IF(E742="","",IF(E742&lt;=0,"het einde ligt voor het begin",IF(E742&lt;60,"venster korter dan een uur","")))</f>
        <v/>
      </c>
      <c r="D742">
        <f>IF(A742="","",694)</f>
        <v/>
      </c>
      <c r="E742">
        <f>IF(OR(Stops!A694="",Stops!E694="",Stops!F694=""),"",ROUND((Stops!F694-Stops!E694)*1440,0))</f>
        <v/>
      </c>
    </row>
    <row r="743">
      <c r="A743">
        <f>IF(Stops!A695="","",Stops!A695)</f>
        <v/>
      </c>
      <c r="B743">
        <f>IF(E743="","",IF(E743&lt;=0,"het einde ligt voor het begin",IF(E743&lt;60,"venster korter dan een uur","")))</f>
        <v/>
      </c>
      <c r="D743">
        <f>IF(A743="","",695)</f>
        <v/>
      </c>
      <c r="E743">
        <f>IF(OR(Stops!A695="",Stops!E695="",Stops!F695=""),"",ROUND((Stops!F695-Stops!E695)*1440,0))</f>
        <v/>
      </c>
    </row>
    <row r="744">
      <c r="A744">
        <f>IF(Stops!A696="","",Stops!A696)</f>
        <v/>
      </c>
      <c r="B744">
        <f>IF(E744="","",IF(E744&lt;=0,"het einde ligt voor het begin",IF(E744&lt;60,"venster korter dan een uur","")))</f>
        <v/>
      </c>
      <c r="D744">
        <f>IF(A744="","",696)</f>
        <v/>
      </c>
      <c r="E744">
        <f>IF(OR(Stops!A696="",Stops!E696="",Stops!F696=""),"",ROUND((Stops!F696-Stops!E696)*1440,0))</f>
        <v/>
      </c>
    </row>
    <row r="745">
      <c r="A745">
        <f>IF(Stops!A697="","",Stops!A697)</f>
        <v/>
      </c>
      <c r="B745">
        <f>IF(E745="","",IF(E745&lt;=0,"het einde ligt voor het begin",IF(E745&lt;60,"venster korter dan een uur","")))</f>
        <v/>
      </c>
      <c r="D745">
        <f>IF(A745="","",697)</f>
        <v/>
      </c>
      <c r="E745">
        <f>IF(OR(Stops!A697="",Stops!E697="",Stops!F697=""),"",ROUND((Stops!F697-Stops!E697)*1440,0))</f>
        <v/>
      </c>
    </row>
    <row r="746">
      <c r="A746">
        <f>IF(Stops!A698="","",Stops!A698)</f>
        <v/>
      </c>
      <c r="B746">
        <f>IF(E746="","",IF(E746&lt;=0,"het einde ligt voor het begin",IF(E746&lt;60,"venster korter dan een uur","")))</f>
        <v/>
      </c>
      <c r="D746">
        <f>IF(A746="","",698)</f>
        <v/>
      </c>
      <c r="E746">
        <f>IF(OR(Stops!A698="",Stops!E698="",Stops!F698=""),"",ROUND((Stops!F698-Stops!E698)*1440,0))</f>
        <v/>
      </c>
    </row>
    <row r="747">
      <c r="A747">
        <f>IF(Stops!A699="","",Stops!A699)</f>
        <v/>
      </c>
      <c r="B747">
        <f>IF(E747="","",IF(E747&lt;=0,"het einde ligt voor het begin",IF(E747&lt;60,"venster korter dan een uur","")))</f>
        <v/>
      </c>
      <c r="D747">
        <f>IF(A747="","",699)</f>
        <v/>
      </c>
      <c r="E747">
        <f>IF(OR(Stops!A699="",Stops!E699="",Stops!F699=""),"",ROUND((Stops!F699-Stops!E699)*1440,0))</f>
        <v/>
      </c>
    </row>
    <row r="748">
      <c r="A748">
        <f>IF(Stops!A700="","",Stops!A700)</f>
        <v/>
      </c>
      <c r="B748">
        <f>IF(E748="","",IF(E748&lt;=0,"het einde ligt voor het begin",IF(E748&lt;60,"venster korter dan een uur","")))</f>
        <v/>
      </c>
      <c r="D748">
        <f>IF(A748="","",700)</f>
        <v/>
      </c>
      <c r="E748">
        <f>IF(OR(Stops!A700="",Stops!E700="",Stops!F700=""),"",ROUND((Stops!F700-Stops!E700)*1440,0))</f>
        <v/>
      </c>
    </row>
    <row r="749">
      <c r="A749">
        <f>IF(Stops!A701="","",Stops!A701)</f>
        <v/>
      </c>
      <c r="B749">
        <f>IF(E749="","",IF(E749&lt;=0,"het einde ligt voor het begin",IF(E749&lt;60,"venster korter dan een uur","")))</f>
        <v/>
      </c>
      <c r="D749">
        <f>IF(A749="","",701)</f>
        <v/>
      </c>
      <c r="E749">
        <f>IF(OR(Stops!A701="",Stops!E701="",Stops!F701=""),"",ROUND((Stops!F701-Stops!E701)*1440,0))</f>
        <v/>
      </c>
    </row>
    <row r="750">
      <c r="A750">
        <f>IF(Stops!A702="","",Stops!A702)</f>
        <v/>
      </c>
      <c r="B750">
        <f>IF(E750="","",IF(E750&lt;=0,"het einde ligt voor het begin",IF(E750&lt;60,"venster korter dan een uur","")))</f>
        <v/>
      </c>
      <c r="D750">
        <f>IF(A750="","",702)</f>
        <v/>
      </c>
      <c r="E750">
        <f>IF(OR(Stops!A702="",Stops!E702="",Stops!F702=""),"",ROUND((Stops!F702-Stops!E702)*1440,0))</f>
        <v/>
      </c>
    </row>
    <row r="751">
      <c r="A751">
        <f>IF(Stops!A703="","",Stops!A703)</f>
        <v/>
      </c>
      <c r="B751">
        <f>IF(E751="","",IF(E751&lt;=0,"het einde ligt voor het begin",IF(E751&lt;60,"venster korter dan een uur","")))</f>
        <v/>
      </c>
      <c r="D751">
        <f>IF(A751="","",703)</f>
        <v/>
      </c>
      <c r="E751">
        <f>IF(OR(Stops!A703="",Stops!E703="",Stops!F703=""),"",ROUND((Stops!F703-Stops!E703)*1440,0))</f>
        <v/>
      </c>
    </row>
    <row r="752">
      <c r="A752">
        <f>IF(Stops!A704="","",Stops!A704)</f>
        <v/>
      </c>
      <c r="B752">
        <f>IF(E752="","",IF(E752&lt;=0,"het einde ligt voor het begin",IF(E752&lt;60,"venster korter dan een uur","")))</f>
        <v/>
      </c>
      <c r="D752">
        <f>IF(A752="","",704)</f>
        <v/>
      </c>
      <c r="E752">
        <f>IF(OR(Stops!A704="",Stops!E704="",Stops!F704=""),"",ROUND((Stops!F704-Stops!E704)*1440,0))</f>
        <v/>
      </c>
    </row>
    <row r="753">
      <c r="A753">
        <f>IF(Stops!A705="","",Stops!A705)</f>
        <v/>
      </c>
      <c r="B753">
        <f>IF(E753="","",IF(E753&lt;=0,"het einde ligt voor het begin",IF(E753&lt;60,"venster korter dan een uur","")))</f>
        <v/>
      </c>
      <c r="D753">
        <f>IF(A753="","",705)</f>
        <v/>
      </c>
      <c r="E753">
        <f>IF(OR(Stops!A705="",Stops!E705="",Stops!F705=""),"",ROUND((Stops!F705-Stops!E705)*1440,0))</f>
        <v/>
      </c>
    </row>
    <row r="754">
      <c r="A754">
        <f>IF(Stops!A706="","",Stops!A706)</f>
        <v/>
      </c>
      <c r="B754">
        <f>IF(E754="","",IF(E754&lt;=0,"het einde ligt voor het begin",IF(E754&lt;60,"venster korter dan een uur","")))</f>
        <v/>
      </c>
      <c r="D754">
        <f>IF(A754="","",706)</f>
        <v/>
      </c>
      <c r="E754">
        <f>IF(OR(Stops!A706="",Stops!E706="",Stops!F706=""),"",ROUND((Stops!F706-Stops!E706)*1440,0))</f>
        <v/>
      </c>
    </row>
    <row r="755">
      <c r="A755">
        <f>IF(Stops!A707="","",Stops!A707)</f>
        <v/>
      </c>
      <c r="B755">
        <f>IF(E755="","",IF(E755&lt;=0,"het einde ligt voor het begin",IF(E755&lt;60,"venster korter dan een uur","")))</f>
        <v/>
      </c>
      <c r="D755">
        <f>IF(A755="","",707)</f>
        <v/>
      </c>
      <c r="E755">
        <f>IF(OR(Stops!A707="",Stops!E707="",Stops!F707=""),"",ROUND((Stops!F707-Stops!E707)*1440,0))</f>
        <v/>
      </c>
    </row>
    <row r="756">
      <c r="A756">
        <f>IF(Stops!A708="","",Stops!A708)</f>
        <v/>
      </c>
      <c r="B756">
        <f>IF(E756="","",IF(E756&lt;=0,"het einde ligt voor het begin",IF(E756&lt;60,"venster korter dan een uur","")))</f>
        <v/>
      </c>
      <c r="D756">
        <f>IF(A756="","",708)</f>
        <v/>
      </c>
      <c r="E756">
        <f>IF(OR(Stops!A708="",Stops!E708="",Stops!F708=""),"",ROUND((Stops!F708-Stops!E708)*1440,0))</f>
        <v/>
      </c>
    </row>
    <row r="757">
      <c r="A757">
        <f>IF(Stops!A709="","",Stops!A709)</f>
        <v/>
      </c>
      <c r="B757">
        <f>IF(E757="","",IF(E757&lt;=0,"het einde ligt voor het begin",IF(E757&lt;60,"venster korter dan een uur","")))</f>
        <v/>
      </c>
      <c r="D757">
        <f>IF(A757="","",709)</f>
        <v/>
      </c>
      <c r="E757">
        <f>IF(OR(Stops!A709="",Stops!E709="",Stops!F709=""),"",ROUND((Stops!F709-Stops!E709)*1440,0))</f>
        <v/>
      </c>
    </row>
    <row r="758">
      <c r="A758">
        <f>IF(Stops!A710="","",Stops!A710)</f>
        <v/>
      </c>
      <c r="B758">
        <f>IF(E758="","",IF(E758&lt;=0,"het einde ligt voor het begin",IF(E758&lt;60,"venster korter dan een uur","")))</f>
        <v/>
      </c>
      <c r="D758">
        <f>IF(A758="","",710)</f>
        <v/>
      </c>
      <c r="E758">
        <f>IF(OR(Stops!A710="",Stops!E710="",Stops!F710=""),"",ROUND((Stops!F710-Stops!E710)*1440,0))</f>
        <v/>
      </c>
    </row>
    <row r="759">
      <c r="A759">
        <f>IF(Stops!A711="","",Stops!A711)</f>
        <v/>
      </c>
      <c r="B759">
        <f>IF(E759="","",IF(E759&lt;=0,"het einde ligt voor het begin",IF(E759&lt;60,"venster korter dan een uur","")))</f>
        <v/>
      </c>
      <c r="D759">
        <f>IF(A759="","",711)</f>
        <v/>
      </c>
      <c r="E759">
        <f>IF(OR(Stops!A711="",Stops!E711="",Stops!F711=""),"",ROUND((Stops!F711-Stops!E711)*1440,0))</f>
        <v/>
      </c>
    </row>
    <row r="760">
      <c r="A760">
        <f>IF(Stops!A712="","",Stops!A712)</f>
        <v/>
      </c>
      <c r="B760">
        <f>IF(E760="","",IF(E760&lt;=0,"het einde ligt voor het begin",IF(E760&lt;60,"venster korter dan een uur","")))</f>
        <v/>
      </c>
      <c r="D760">
        <f>IF(A760="","",712)</f>
        <v/>
      </c>
      <c r="E760">
        <f>IF(OR(Stops!A712="",Stops!E712="",Stops!F712=""),"",ROUND((Stops!F712-Stops!E712)*1440,0))</f>
        <v/>
      </c>
    </row>
    <row r="761">
      <c r="A761">
        <f>IF(Stops!A713="","",Stops!A713)</f>
        <v/>
      </c>
      <c r="B761">
        <f>IF(E761="","",IF(E761&lt;=0,"het einde ligt voor het begin",IF(E761&lt;60,"venster korter dan een uur","")))</f>
        <v/>
      </c>
      <c r="D761">
        <f>IF(A761="","",713)</f>
        <v/>
      </c>
      <c r="E761">
        <f>IF(OR(Stops!A713="",Stops!E713="",Stops!F713=""),"",ROUND((Stops!F713-Stops!E713)*1440,0))</f>
        <v/>
      </c>
    </row>
    <row r="762">
      <c r="A762">
        <f>IF(Stops!A714="","",Stops!A714)</f>
        <v/>
      </c>
      <c r="B762">
        <f>IF(E762="","",IF(E762&lt;=0,"het einde ligt voor het begin",IF(E762&lt;60,"venster korter dan een uur","")))</f>
        <v/>
      </c>
      <c r="D762">
        <f>IF(A762="","",714)</f>
        <v/>
      </c>
      <c r="E762">
        <f>IF(OR(Stops!A714="",Stops!E714="",Stops!F714=""),"",ROUND((Stops!F714-Stops!E714)*1440,0))</f>
        <v/>
      </c>
    </row>
    <row r="763">
      <c r="A763">
        <f>IF(Stops!A715="","",Stops!A715)</f>
        <v/>
      </c>
      <c r="B763">
        <f>IF(E763="","",IF(E763&lt;=0,"het einde ligt voor het begin",IF(E763&lt;60,"venster korter dan een uur","")))</f>
        <v/>
      </c>
      <c r="D763">
        <f>IF(A763="","",715)</f>
        <v/>
      </c>
      <c r="E763">
        <f>IF(OR(Stops!A715="",Stops!E715="",Stops!F715=""),"",ROUND((Stops!F715-Stops!E715)*1440,0))</f>
        <v/>
      </c>
    </row>
    <row r="764">
      <c r="A764">
        <f>IF(Stops!A716="","",Stops!A716)</f>
        <v/>
      </c>
      <c r="B764">
        <f>IF(E764="","",IF(E764&lt;=0,"het einde ligt voor het begin",IF(E764&lt;60,"venster korter dan een uur","")))</f>
        <v/>
      </c>
      <c r="D764">
        <f>IF(A764="","",716)</f>
        <v/>
      </c>
      <c r="E764">
        <f>IF(OR(Stops!A716="",Stops!E716="",Stops!F716=""),"",ROUND((Stops!F716-Stops!E716)*1440,0))</f>
        <v/>
      </c>
    </row>
    <row r="765">
      <c r="A765">
        <f>IF(Stops!A717="","",Stops!A717)</f>
        <v/>
      </c>
      <c r="B765">
        <f>IF(E765="","",IF(E765&lt;=0,"het einde ligt voor het begin",IF(E765&lt;60,"venster korter dan een uur","")))</f>
        <v/>
      </c>
      <c r="D765">
        <f>IF(A765="","",717)</f>
        <v/>
      </c>
      <c r="E765">
        <f>IF(OR(Stops!A717="",Stops!E717="",Stops!F717=""),"",ROUND((Stops!F717-Stops!E717)*1440,0))</f>
        <v/>
      </c>
    </row>
    <row r="766">
      <c r="A766">
        <f>IF(Stops!A718="","",Stops!A718)</f>
        <v/>
      </c>
      <c r="B766">
        <f>IF(E766="","",IF(E766&lt;=0,"het einde ligt voor het begin",IF(E766&lt;60,"venster korter dan een uur","")))</f>
        <v/>
      </c>
      <c r="D766">
        <f>IF(A766="","",718)</f>
        <v/>
      </c>
      <c r="E766">
        <f>IF(OR(Stops!A718="",Stops!E718="",Stops!F718=""),"",ROUND((Stops!F718-Stops!E718)*1440,0))</f>
        <v/>
      </c>
    </row>
    <row r="767">
      <c r="A767">
        <f>IF(Stops!A719="","",Stops!A719)</f>
        <v/>
      </c>
      <c r="B767">
        <f>IF(E767="","",IF(E767&lt;=0,"het einde ligt voor het begin",IF(E767&lt;60,"venster korter dan een uur","")))</f>
        <v/>
      </c>
      <c r="D767">
        <f>IF(A767="","",719)</f>
        <v/>
      </c>
      <c r="E767">
        <f>IF(OR(Stops!A719="",Stops!E719="",Stops!F719=""),"",ROUND((Stops!F719-Stops!E719)*1440,0))</f>
        <v/>
      </c>
    </row>
    <row r="768">
      <c r="A768">
        <f>IF(Stops!A720="","",Stops!A720)</f>
        <v/>
      </c>
      <c r="B768">
        <f>IF(E768="","",IF(E768&lt;=0,"het einde ligt voor het begin",IF(E768&lt;60,"venster korter dan een uur","")))</f>
        <v/>
      </c>
      <c r="D768">
        <f>IF(A768="","",720)</f>
        <v/>
      </c>
      <c r="E768">
        <f>IF(OR(Stops!A720="",Stops!E720="",Stops!F720=""),"",ROUND((Stops!F720-Stops!E720)*1440,0))</f>
        <v/>
      </c>
    </row>
    <row r="769">
      <c r="A769">
        <f>IF(Stops!A721="","",Stops!A721)</f>
        <v/>
      </c>
      <c r="B769">
        <f>IF(E769="","",IF(E769&lt;=0,"het einde ligt voor het begin",IF(E769&lt;60,"venster korter dan een uur","")))</f>
        <v/>
      </c>
      <c r="D769">
        <f>IF(A769="","",721)</f>
        <v/>
      </c>
      <c r="E769">
        <f>IF(OR(Stops!A721="",Stops!E721="",Stops!F721=""),"",ROUND((Stops!F721-Stops!E721)*1440,0))</f>
        <v/>
      </c>
    </row>
    <row r="770">
      <c r="A770">
        <f>IF(Stops!A722="","",Stops!A722)</f>
        <v/>
      </c>
      <c r="B770">
        <f>IF(E770="","",IF(E770&lt;=0,"het einde ligt voor het begin",IF(E770&lt;60,"venster korter dan een uur","")))</f>
        <v/>
      </c>
      <c r="D770">
        <f>IF(A770="","",722)</f>
        <v/>
      </c>
      <c r="E770">
        <f>IF(OR(Stops!A722="",Stops!E722="",Stops!F722=""),"",ROUND((Stops!F722-Stops!E722)*1440,0))</f>
        <v/>
      </c>
    </row>
    <row r="771">
      <c r="A771">
        <f>IF(Stops!A723="","",Stops!A723)</f>
        <v/>
      </c>
      <c r="B771">
        <f>IF(E771="","",IF(E771&lt;=0,"het einde ligt voor het begin",IF(E771&lt;60,"venster korter dan een uur","")))</f>
        <v/>
      </c>
      <c r="D771">
        <f>IF(A771="","",723)</f>
        <v/>
      </c>
      <c r="E771">
        <f>IF(OR(Stops!A723="",Stops!E723="",Stops!F723=""),"",ROUND((Stops!F723-Stops!E723)*1440,0))</f>
        <v/>
      </c>
    </row>
    <row r="772">
      <c r="A772">
        <f>IF(Stops!A724="","",Stops!A724)</f>
        <v/>
      </c>
      <c r="B772">
        <f>IF(E772="","",IF(E772&lt;=0,"het einde ligt voor het begin",IF(E772&lt;60,"venster korter dan een uur","")))</f>
        <v/>
      </c>
      <c r="D772">
        <f>IF(A772="","",724)</f>
        <v/>
      </c>
      <c r="E772">
        <f>IF(OR(Stops!A724="",Stops!E724="",Stops!F724=""),"",ROUND((Stops!F724-Stops!E724)*1440,0))</f>
        <v/>
      </c>
    </row>
    <row r="773">
      <c r="A773">
        <f>IF(Stops!A725="","",Stops!A725)</f>
        <v/>
      </c>
      <c r="B773">
        <f>IF(E773="","",IF(E773&lt;=0,"het einde ligt voor het begin",IF(E773&lt;60,"venster korter dan een uur","")))</f>
        <v/>
      </c>
      <c r="D773">
        <f>IF(A773="","",725)</f>
        <v/>
      </c>
      <c r="E773">
        <f>IF(OR(Stops!A725="",Stops!E725="",Stops!F725=""),"",ROUND((Stops!F725-Stops!E725)*1440,0))</f>
        <v/>
      </c>
    </row>
    <row r="774">
      <c r="A774">
        <f>IF(Stops!A726="","",Stops!A726)</f>
        <v/>
      </c>
      <c r="B774">
        <f>IF(E774="","",IF(E774&lt;=0,"het einde ligt voor het begin",IF(E774&lt;60,"venster korter dan een uur","")))</f>
        <v/>
      </c>
      <c r="D774">
        <f>IF(A774="","",726)</f>
        <v/>
      </c>
      <c r="E774">
        <f>IF(OR(Stops!A726="",Stops!E726="",Stops!F726=""),"",ROUND((Stops!F726-Stops!E726)*1440,0))</f>
        <v/>
      </c>
    </row>
    <row r="775">
      <c r="A775">
        <f>IF(Stops!A727="","",Stops!A727)</f>
        <v/>
      </c>
      <c r="B775">
        <f>IF(E775="","",IF(E775&lt;=0,"het einde ligt voor het begin",IF(E775&lt;60,"venster korter dan een uur","")))</f>
        <v/>
      </c>
      <c r="D775">
        <f>IF(A775="","",727)</f>
        <v/>
      </c>
      <c r="E775">
        <f>IF(OR(Stops!A727="",Stops!E727="",Stops!F727=""),"",ROUND((Stops!F727-Stops!E727)*1440,0))</f>
        <v/>
      </c>
    </row>
    <row r="776">
      <c r="A776">
        <f>IF(Stops!A728="","",Stops!A728)</f>
        <v/>
      </c>
      <c r="B776">
        <f>IF(E776="","",IF(E776&lt;=0,"het einde ligt voor het begin",IF(E776&lt;60,"venster korter dan een uur","")))</f>
        <v/>
      </c>
      <c r="D776">
        <f>IF(A776="","",728)</f>
        <v/>
      </c>
      <c r="E776">
        <f>IF(OR(Stops!A728="",Stops!E728="",Stops!F728=""),"",ROUND((Stops!F728-Stops!E728)*1440,0))</f>
        <v/>
      </c>
    </row>
    <row r="777">
      <c r="A777">
        <f>IF(Stops!A729="","",Stops!A729)</f>
        <v/>
      </c>
      <c r="B777">
        <f>IF(E777="","",IF(E777&lt;=0,"het einde ligt voor het begin",IF(E777&lt;60,"venster korter dan een uur","")))</f>
        <v/>
      </c>
      <c r="D777">
        <f>IF(A777="","",729)</f>
        <v/>
      </c>
      <c r="E777">
        <f>IF(OR(Stops!A729="",Stops!E729="",Stops!F729=""),"",ROUND((Stops!F729-Stops!E729)*1440,0))</f>
        <v/>
      </c>
    </row>
    <row r="778">
      <c r="A778">
        <f>IF(Stops!A730="","",Stops!A730)</f>
        <v/>
      </c>
      <c r="B778">
        <f>IF(E778="","",IF(E778&lt;=0,"het einde ligt voor het begin",IF(E778&lt;60,"venster korter dan een uur","")))</f>
        <v/>
      </c>
      <c r="D778">
        <f>IF(A778="","",730)</f>
        <v/>
      </c>
      <c r="E778">
        <f>IF(OR(Stops!A730="",Stops!E730="",Stops!F730=""),"",ROUND((Stops!F730-Stops!E730)*1440,0))</f>
        <v/>
      </c>
    </row>
    <row r="779">
      <c r="A779">
        <f>IF(Stops!A731="","",Stops!A731)</f>
        <v/>
      </c>
      <c r="B779">
        <f>IF(E779="","",IF(E779&lt;=0,"het einde ligt voor het begin",IF(E779&lt;60,"venster korter dan een uur","")))</f>
        <v/>
      </c>
      <c r="D779">
        <f>IF(A779="","",731)</f>
        <v/>
      </c>
      <c r="E779">
        <f>IF(OR(Stops!A731="",Stops!E731="",Stops!F731=""),"",ROUND((Stops!F731-Stops!E731)*1440,0))</f>
        <v/>
      </c>
    </row>
    <row r="780">
      <c r="A780">
        <f>IF(Stops!A732="","",Stops!A732)</f>
        <v/>
      </c>
      <c r="B780">
        <f>IF(E780="","",IF(E780&lt;=0,"het einde ligt voor het begin",IF(E780&lt;60,"venster korter dan een uur","")))</f>
        <v/>
      </c>
      <c r="D780">
        <f>IF(A780="","",732)</f>
        <v/>
      </c>
      <c r="E780">
        <f>IF(OR(Stops!A732="",Stops!E732="",Stops!F732=""),"",ROUND((Stops!F732-Stops!E732)*1440,0))</f>
        <v/>
      </c>
    </row>
    <row r="781">
      <c r="A781">
        <f>IF(Stops!A733="","",Stops!A733)</f>
        <v/>
      </c>
      <c r="B781">
        <f>IF(E781="","",IF(E781&lt;=0,"het einde ligt voor het begin",IF(E781&lt;60,"venster korter dan een uur","")))</f>
        <v/>
      </c>
      <c r="D781">
        <f>IF(A781="","",733)</f>
        <v/>
      </c>
      <c r="E781">
        <f>IF(OR(Stops!A733="",Stops!E733="",Stops!F733=""),"",ROUND((Stops!F733-Stops!E733)*1440,0))</f>
        <v/>
      </c>
    </row>
    <row r="782">
      <c r="A782">
        <f>IF(Stops!A734="","",Stops!A734)</f>
        <v/>
      </c>
      <c r="B782">
        <f>IF(E782="","",IF(E782&lt;=0,"het einde ligt voor het begin",IF(E782&lt;60,"venster korter dan een uur","")))</f>
        <v/>
      </c>
      <c r="D782">
        <f>IF(A782="","",734)</f>
        <v/>
      </c>
      <c r="E782">
        <f>IF(OR(Stops!A734="",Stops!E734="",Stops!F734=""),"",ROUND((Stops!F734-Stops!E734)*1440,0))</f>
        <v/>
      </c>
    </row>
    <row r="783">
      <c r="A783">
        <f>IF(Stops!A735="","",Stops!A735)</f>
        <v/>
      </c>
      <c r="B783">
        <f>IF(E783="","",IF(E783&lt;=0,"het einde ligt voor het begin",IF(E783&lt;60,"venster korter dan een uur","")))</f>
        <v/>
      </c>
      <c r="D783">
        <f>IF(A783="","",735)</f>
        <v/>
      </c>
      <c r="E783">
        <f>IF(OR(Stops!A735="",Stops!E735="",Stops!F735=""),"",ROUND((Stops!F735-Stops!E735)*1440,0))</f>
        <v/>
      </c>
    </row>
    <row r="784">
      <c r="A784">
        <f>IF(Stops!A736="","",Stops!A736)</f>
        <v/>
      </c>
      <c r="B784">
        <f>IF(E784="","",IF(E784&lt;=0,"het einde ligt voor het begin",IF(E784&lt;60,"venster korter dan een uur","")))</f>
        <v/>
      </c>
      <c r="D784">
        <f>IF(A784="","",736)</f>
        <v/>
      </c>
      <c r="E784">
        <f>IF(OR(Stops!A736="",Stops!E736="",Stops!F736=""),"",ROUND((Stops!F736-Stops!E736)*1440,0))</f>
        <v/>
      </c>
    </row>
    <row r="785">
      <c r="A785">
        <f>IF(Stops!A737="","",Stops!A737)</f>
        <v/>
      </c>
      <c r="B785">
        <f>IF(E785="","",IF(E785&lt;=0,"het einde ligt voor het begin",IF(E785&lt;60,"venster korter dan een uur","")))</f>
        <v/>
      </c>
      <c r="D785">
        <f>IF(A785="","",737)</f>
        <v/>
      </c>
      <c r="E785">
        <f>IF(OR(Stops!A737="",Stops!E737="",Stops!F737=""),"",ROUND((Stops!F737-Stops!E737)*1440,0))</f>
        <v/>
      </c>
    </row>
    <row r="786">
      <c r="A786">
        <f>IF(Stops!A738="","",Stops!A738)</f>
        <v/>
      </c>
      <c r="B786">
        <f>IF(E786="","",IF(E786&lt;=0,"het einde ligt voor het begin",IF(E786&lt;60,"venster korter dan een uur","")))</f>
        <v/>
      </c>
      <c r="D786">
        <f>IF(A786="","",738)</f>
        <v/>
      </c>
      <c r="E786">
        <f>IF(OR(Stops!A738="",Stops!E738="",Stops!F738=""),"",ROUND((Stops!F738-Stops!E738)*1440,0))</f>
        <v/>
      </c>
    </row>
    <row r="787">
      <c r="A787">
        <f>IF(Stops!A739="","",Stops!A739)</f>
        <v/>
      </c>
      <c r="B787">
        <f>IF(E787="","",IF(E787&lt;=0,"het einde ligt voor het begin",IF(E787&lt;60,"venster korter dan een uur","")))</f>
        <v/>
      </c>
      <c r="D787">
        <f>IF(A787="","",739)</f>
        <v/>
      </c>
      <c r="E787">
        <f>IF(OR(Stops!A739="",Stops!E739="",Stops!F739=""),"",ROUND((Stops!F739-Stops!E739)*1440,0))</f>
        <v/>
      </c>
    </row>
    <row r="788">
      <c r="A788">
        <f>IF(Stops!A740="","",Stops!A740)</f>
        <v/>
      </c>
      <c r="B788">
        <f>IF(E788="","",IF(E788&lt;=0,"het einde ligt voor het begin",IF(E788&lt;60,"venster korter dan een uur","")))</f>
        <v/>
      </c>
      <c r="D788">
        <f>IF(A788="","",740)</f>
        <v/>
      </c>
      <c r="E788">
        <f>IF(OR(Stops!A740="",Stops!E740="",Stops!F740=""),"",ROUND((Stops!F740-Stops!E740)*1440,0))</f>
        <v/>
      </c>
    </row>
    <row r="789">
      <c r="A789">
        <f>IF(Stops!A741="","",Stops!A741)</f>
        <v/>
      </c>
      <c r="B789">
        <f>IF(E789="","",IF(E789&lt;=0,"het einde ligt voor het begin",IF(E789&lt;60,"venster korter dan een uur","")))</f>
        <v/>
      </c>
      <c r="D789">
        <f>IF(A789="","",741)</f>
        <v/>
      </c>
      <c r="E789">
        <f>IF(OR(Stops!A741="",Stops!E741="",Stops!F741=""),"",ROUND((Stops!F741-Stops!E741)*1440,0))</f>
        <v/>
      </c>
    </row>
    <row r="790">
      <c r="A790">
        <f>IF(Stops!A742="","",Stops!A742)</f>
        <v/>
      </c>
      <c r="B790">
        <f>IF(E790="","",IF(E790&lt;=0,"het einde ligt voor het begin",IF(E790&lt;60,"venster korter dan een uur","")))</f>
        <v/>
      </c>
      <c r="D790">
        <f>IF(A790="","",742)</f>
        <v/>
      </c>
      <c r="E790">
        <f>IF(OR(Stops!A742="",Stops!E742="",Stops!F742=""),"",ROUND((Stops!F742-Stops!E742)*1440,0))</f>
        <v/>
      </c>
    </row>
    <row r="791">
      <c r="A791">
        <f>IF(Stops!A743="","",Stops!A743)</f>
        <v/>
      </c>
      <c r="B791">
        <f>IF(E791="","",IF(E791&lt;=0,"het einde ligt voor het begin",IF(E791&lt;60,"venster korter dan een uur","")))</f>
        <v/>
      </c>
      <c r="D791">
        <f>IF(A791="","",743)</f>
        <v/>
      </c>
      <c r="E791">
        <f>IF(OR(Stops!A743="",Stops!E743="",Stops!F743=""),"",ROUND((Stops!F743-Stops!E743)*1440,0))</f>
        <v/>
      </c>
    </row>
    <row r="792">
      <c r="A792">
        <f>IF(Stops!A744="","",Stops!A744)</f>
        <v/>
      </c>
      <c r="B792">
        <f>IF(E792="","",IF(E792&lt;=0,"het einde ligt voor het begin",IF(E792&lt;60,"venster korter dan een uur","")))</f>
        <v/>
      </c>
      <c r="D792">
        <f>IF(A792="","",744)</f>
        <v/>
      </c>
      <c r="E792">
        <f>IF(OR(Stops!A744="",Stops!E744="",Stops!F744=""),"",ROUND((Stops!F744-Stops!E744)*1440,0))</f>
        <v/>
      </c>
    </row>
    <row r="793">
      <c r="A793">
        <f>IF(Stops!A745="","",Stops!A745)</f>
        <v/>
      </c>
      <c r="B793">
        <f>IF(E793="","",IF(E793&lt;=0,"het einde ligt voor het begin",IF(E793&lt;60,"venster korter dan een uur","")))</f>
        <v/>
      </c>
      <c r="D793">
        <f>IF(A793="","",745)</f>
        <v/>
      </c>
      <c r="E793">
        <f>IF(OR(Stops!A745="",Stops!E745="",Stops!F745=""),"",ROUND((Stops!F745-Stops!E745)*1440,0))</f>
        <v/>
      </c>
    </row>
    <row r="794">
      <c r="A794">
        <f>IF(Stops!A746="","",Stops!A746)</f>
        <v/>
      </c>
      <c r="B794">
        <f>IF(E794="","",IF(E794&lt;=0,"het einde ligt voor het begin",IF(E794&lt;60,"venster korter dan een uur","")))</f>
        <v/>
      </c>
      <c r="D794">
        <f>IF(A794="","",746)</f>
        <v/>
      </c>
      <c r="E794">
        <f>IF(OR(Stops!A746="",Stops!E746="",Stops!F746=""),"",ROUND((Stops!F746-Stops!E746)*1440,0))</f>
        <v/>
      </c>
    </row>
    <row r="795">
      <c r="A795">
        <f>IF(Stops!A747="","",Stops!A747)</f>
        <v/>
      </c>
      <c r="B795">
        <f>IF(E795="","",IF(E795&lt;=0,"het einde ligt voor het begin",IF(E795&lt;60,"venster korter dan een uur","")))</f>
        <v/>
      </c>
      <c r="D795">
        <f>IF(A795="","",747)</f>
        <v/>
      </c>
      <c r="E795">
        <f>IF(OR(Stops!A747="",Stops!E747="",Stops!F747=""),"",ROUND((Stops!F747-Stops!E747)*1440,0))</f>
        <v/>
      </c>
    </row>
    <row r="796">
      <c r="A796">
        <f>IF(Stops!A748="","",Stops!A748)</f>
        <v/>
      </c>
      <c r="B796">
        <f>IF(E796="","",IF(E796&lt;=0,"het einde ligt voor het begin",IF(E796&lt;60,"venster korter dan een uur","")))</f>
        <v/>
      </c>
      <c r="D796">
        <f>IF(A796="","",748)</f>
        <v/>
      </c>
      <c r="E796">
        <f>IF(OR(Stops!A748="",Stops!E748="",Stops!F748=""),"",ROUND((Stops!F748-Stops!E748)*1440,0))</f>
        <v/>
      </c>
    </row>
    <row r="797">
      <c r="A797">
        <f>IF(Stops!A749="","",Stops!A749)</f>
        <v/>
      </c>
      <c r="B797">
        <f>IF(E797="","",IF(E797&lt;=0,"het einde ligt voor het begin",IF(E797&lt;60,"venster korter dan een uur","")))</f>
        <v/>
      </c>
      <c r="D797">
        <f>IF(A797="","",749)</f>
        <v/>
      </c>
      <c r="E797">
        <f>IF(OR(Stops!A749="",Stops!E749="",Stops!F749=""),"",ROUND((Stops!F749-Stops!E749)*1440,0))</f>
        <v/>
      </c>
    </row>
    <row r="798">
      <c r="A798">
        <f>IF(Stops!A750="","",Stops!A750)</f>
        <v/>
      </c>
      <c r="B798">
        <f>IF(E798="","",IF(E798&lt;=0,"het einde ligt voor het begin",IF(E798&lt;60,"venster korter dan een uur","")))</f>
        <v/>
      </c>
      <c r="D798">
        <f>IF(A798="","",750)</f>
        <v/>
      </c>
      <c r="E798">
        <f>IF(OR(Stops!A750="",Stops!E750="",Stops!F750=""),"",ROUND((Stops!F750-Stops!E750)*1440,0))</f>
        <v/>
      </c>
    </row>
    <row r="799">
      <c r="A799">
        <f>IF(Stops!A751="","",Stops!A751)</f>
        <v/>
      </c>
      <c r="B799">
        <f>IF(E799="","",IF(E799&lt;=0,"het einde ligt voor het begin",IF(E799&lt;60,"venster korter dan een uur","")))</f>
        <v/>
      </c>
      <c r="D799">
        <f>IF(A799="","",751)</f>
        <v/>
      </c>
      <c r="E799">
        <f>IF(OR(Stops!A751="",Stops!E751="",Stops!F751=""),"",ROUND((Stops!F751-Stops!E751)*1440,0))</f>
        <v/>
      </c>
    </row>
    <row r="800">
      <c r="A800">
        <f>IF(Stops!A752="","",Stops!A752)</f>
        <v/>
      </c>
      <c r="B800">
        <f>IF(E800="","",IF(E800&lt;=0,"het einde ligt voor het begin",IF(E800&lt;60,"venster korter dan een uur","")))</f>
        <v/>
      </c>
      <c r="D800">
        <f>IF(A800="","",752)</f>
        <v/>
      </c>
      <c r="E800">
        <f>IF(OR(Stops!A752="",Stops!E752="",Stops!F752=""),"",ROUND((Stops!F752-Stops!E752)*1440,0))</f>
        <v/>
      </c>
    </row>
    <row r="801">
      <c r="A801">
        <f>IF(Stops!A753="","",Stops!A753)</f>
        <v/>
      </c>
      <c r="B801">
        <f>IF(E801="","",IF(E801&lt;=0,"het einde ligt voor het begin",IF(E801&lt;60,"venster korter dan een uur","")))</f>
        <v/>
      </c>
      <c r="D801">
        <f>IF(A801="","",753)</f>
        <v/>
      </c>
      <c r="E801">
        <f>IF(OR(Stops!A753="",Stops!E753="",Stops!F753=""),"",ROUND((Stops!F753-Stops!E753)*1440,0))</f>
        <v/>
      </c>
    </row>
    <row r="802">
      <c r="A802">
        <f>IF(Stops!A754="","",Stops!A754)</f>
        <v/>
      </c>
      <c r="B802">
        <f>IF(E802="","",IF(E802&lt;=0,"het einde ligt voor het begin",IF(E802&lt;60,"venster korter dan een uur","")))</f>
        <v/>
      </c>
      <c r="D802">
        <f>IF(A802="","",754)</f>
        <v/>
      </c>
      <c r="E802">
        <f>IF(OR(Stops!A754="",Stops!E754="",Stops!F754=""),"",ROUND((Stops!F754-Stops!E754)*1440,0))</f>
        <v/>
      </c>
    </row>
    <row r="803">
      <c r="A803">
        <f>IF(Stops!A755="","",Stops!A755)</f>
        <v/>
      </c>
      <c r="B803">
        <f>IF(E803="","",IF(E803&lt;=0,"het einde ligt voor het begin",IF(E803&lt;60,"venster korter dan een uur","")))</f>
        <v/>
      </c>
      <c r="D803">
        <f>IF(A803="","",755)</f>
        <v/>
      </c>
      <c r="E803">
        <f>IF(OR(Stops!A755="",Stops!E755="",Stops!F755=""),"",ROUND((Stops!F755-Stops!E755)*1440,0))</f>
        <v/>
      </c>
    </row>
    <row r="804">
      <c r="A804">
        <f>IF(Stops!A756="","",Stops!A756)</f>
        <v/>
      </c>
      <c r="B804">
        <f>IF(E804="","",IF(E804&lt;=0,"het einde ligt voor het begin",IF(E804&lt;60,"venster korter dan een uur","")))</f>
        <v/>
      </c>
      <c r="D804">
        <f>IF(A804="","",756)</f>
        <v/>
      </c>
      <c r="E804">
        <f>IF(OR(Stops!A756="",Stops!E756="",Stops!F756=""),"",ROUND((Stops!F756-Stops!E756)*1440,0))</f>
        <v/>
      </c>
    </row>
    <row r="805">
      <c r="A805">
        <f>IF(Stops!A757="","",Stops!A757)</f>
        <v/>
      </c>
      <c r="B805">
        <f>IF(E805="","",IF(E805&lt;=0,"het einde ligt voor het begin",IF(E805&lt;60,"venster korter dan een uur","")))</f>
        <v/>
      </c>
      <c r="D805">
        <f>IF(A805="","",757)</f>
        <v/>
      </c>
      <c r="E805">
        <f>IF(OR(Stops!A757="",Stops!E757="",Stops!F757=""),"",ROUND((Stops!F757-Stops!E757)*1440,0))</f>
        <v/>
      </c>
    </row>
    <row r="806">
      <c r="A806">
        <f>IF(Stops!A758="","",Stops!A758)</f>
        <v/>
      </c>
      <c r="B806">
        <f>IF(E806="","",IF(E806&lt;=0,"het einde ligt voor het begin",IF(E806&lt;60,"venster korter dan een uur","")))</f>
        <v/>
      </c>
      <c r="D806">
        <f>IF(A806="","",758)</f>
        <v/>
      </c>
      <c r="E806">
        <f>IF(OR(Stops!A758="",Stops!E758="",Stops!F758=""),"",ROUND((Stops!F758-Stops!E758)*1440,0))</f>
        <v/>
      </c>
    </row>
    <row r="807">
      <c r="A807">
        <f>IF(Stops!A759="","",Stops!A759)</f>
        <v/>
      </c>
      <c r="B807">
        <f>IF(E807="","",IF(E807&lt;=0,"het einde ligt voor het begin",IF(E807&lt;60,"venster korter dan een uur","")))</f>
        <v/>
      </c>
      <c r="D807">
        <f>IF(A807="","",759)</f>
        <v/>
      </c>
      <c r="E807">
        <f>IF(OR(Stops!A759="",Stops!E759="",Stops!F759=""),"",ROUND((Stops!F759-Stops!E759)*1440,0))</f>
        <v/>
      </c>
    </row>
    <row r="808">
      <c r="A808">
        <f>IF(Stops!A760="","",Stops!A760)</f>
        <v/>
      </c>
      <c r="B808">
        <f>IF(E808="","",IF(E808&lt;=0,"het einde ligt voor het begin",IF(E808&lt;60,"venster korter dan een uur","")))</f>
        <v/>
      </c>
      <c r="D808">
        <f>IF(A808="","",760)</f>
        <v/>
      </c>
      <c r="E808">
        <f>IF(OR(Stops!A760="",Stops!E760="",Stops!F760=""),"",ROUND((Stops!F760-Stops!E760)*1440,0))</f>
        <v/>
      </c>
    </row>
    <row r="809">
      <c r="A809">
        <f>IF(Stops!A761="","",Stops!A761)</f>
        <v/>
      </c>
      <c r="B809">
        <f>IF(E809="","",IF(E809&lt;=0,"het einde ligt voor het begin",IF(E809&lt;60,"venster korter dan een uur","")))</f>
        <v/>
      </c>
      <c r="D809">
        <f>IF(A809="","",761)</f>
        <v/>
      </c>
      <c r="E809">
        <f>IF(OR(Stops!A761="",Stops!E761="",Stops!F761=""),"",ROUND((Stops!F761-Stops!E761)*1440,0))</f>
        <v/>
      </c>
    </row>
    <row r="810">
      <c r="A810">
        <f>IF(Stops!A762="","",Stops!A762)</f>
        <v/>
      </c>
      <c r="B810">
        <f>IF(E810="","",IF(E810&lt;=0,"het einde ligt voor het begin",IF(E810&lt;60,"venster korter dan een uur","")))</f>
        <v/>
      </c>
      <c r="D810">
        <f>IF(A810="","",762)</f>
        <v/>
      </c>
      <c r="E810">
        <f>IF(OR(Stops!A762="",Stops!E762="",Stops!F762=""),"",ROUND((Stops!F762-Stops!E762)*1440,0))</f>
        <v/>
      </c>
    </row>
    <row r="811">
      <c r="A811">
        <f>IF(Stops!A763="","",Stops!A763)</f>
        <v/>
      </c>
      <c r="B811">
        <f>IF(E811="","",IF(E811&lt;=0,"het einde ligt voor het begin",IF(E811&lt;60,"venster korter dan een uur","")))</f>
        <v/>
      </c>
      <c r="D811">
        <f>IF(A811="","",763)</f>
        <v/>
      </c>
      <c r="E811">
        <f>IF(OR(Stops!A763="",Stops!E763="",Stops!F763=""),"",ROUND((Stops!F763-Stops!E763)*1440,0))</f>
        <v/>
      </c>
    </row>
    <row r="812">
      <c r="A812">
        <f>IF(Stops!A764="","",Stops!A764)</f>
        <v/>
      </c>
      <c r="B812">
        <f>IF(E812="","",IF(E812&lt;=0,"het einde ligt voor het begin",IF(E812&lt;60,"venster korter dan een uur","")))</f>
        <v/>
      </c>
      <c r="D812">
        <f>IF(A812="","",764)</f>
        <v/>
      </c>
      <c r="E812">
        <f>IF(OR(Stops!A764="",Stops!E764="",Stops!F764=""),"",ROUND((Stops!F764-Stops!E764)*1440,0))</f>
        <v/>
      </c>
    </row>
    <row r="813">
      <c r="A813">
        <f>IF(Stops!A765="","",Stops!A765)</f>
        <v/>
      </c>
      <c r="B813">
        <f>IF(E813="","",IF(E813&lt;=0,"het einde ligt voor het begin",IF(E813&lt;60,"venster korter dan een uur","")))</f>
        <v/>
      </c>
      <c r="D813">
        <f>IF(A813="","",765)</f>
        <v/>
      </c>
      <c r="E813">
        <f>IF(OR(Stops!A765="",Stops!E765="",Stops!F765=""),"",ROUND((Stops!F765-Stops!E765)*1440,0))</f>
        <v/>
      </c>
    </row>
    <row r="814">
      <c r="A814">
        <f>IF(Stops!A766="","",Stops!A766)</f>
        <v/>
      </c>
      <c r="B814">
        <f>IF(E814="","",IF(E814&lt;=0,"het einde ligt voor het begin",IF(E814&lt;60,"venster korter dan een uur","")))</f>
        <v/>
      </c>
      <c r="D814">
        <f>IF(A814="","",766)</f>
        <v/>
      </c>
      <c r="E814">
        <f>IF(OR(Stops!A766="",Stops!E766="",Stops!F766=""),"",ROUND((Stops!F766-Stops!E766)*1440,0))</f>
        <v/>
      </c>
    </row>
    <row r="815">
      <c r="A815">
        <f>IF(Stops!A767="","",Stops!A767)</f>
        <v/>
      </c>
      <c r="B815">
        <f>IF(E815="","",IF(E815&lt;=0,"het einde ligt voor het begin",IF(E815&lt;60,"venster korter dan een uur","")))</f>
        <v/>
      </c>
      <c r="D815">
        <f>IF(A815="","",767)</f>
        <v/>
      </c>
      <c r="E815">
        <f>IF(OR(Stops!A767="",Stops!E767="",Stops!F767=""),"",ROUND((Stops!F767-Stops!E767)*1440,0))</f>
        <v/>
      </c>
    </row>
    <row r="816">
      <c r="A816">
        <f>IF(Stops!A768="","",Stops!A768)</f>
        <v/>
      </c>
      <c r="B816">
        <f>IF(E816="","",IF(E816&lt;=0,"het einde ligt voor het begin",IF(E816&lt;60,"venster korter dan een uur","")))</f>
        <v/>
      </c>
      <c r="D816">
        <f>IF(A816="","",768)</f>
        <v/>
      </c>
      <c r="E816">
        <f>IF(OR(Stops!A768="",Stops!E768="",Stops!F768=""),"",ROUND((Stops!F768-Stops!E768)*1440,0))</f>
        <v/>
      </c>
    </row>
    <row r="817">
      <c r="A817">
        <f>IF(Stops!A769="","",Stops!A769)</f>
        <v/>
      </c>
      <c r="B817">
        <f>IF(E817="","",IF(E817&lt;=0,"het einde ligt voor het begin",IF(E817&lt;60,"venster korter dan een uur","")))</f>
        <v/>
      </c>
      <c r="D817">
        <f>IF(A817="","",769)</f>
        <v/>
      </c>
      <c r="E817">
        <f>IF(OR(Stops!A769="",Stops!E769="",Stops!F769=""),"",ROUND((Stops!F769-Stops!E769)*1440,0))</f>
        <v/>
      </c>
    </row>
    <row r="818">
      <c r="A818">
        <f>IF(Stops!A770="","",Stops!A770)</f>
        <v/>
      </c>
      <c r="B818">
        <f>IF(E818="","",IF(E818&lt;=0,"het einde ligt voor het begin",IF(E818&lt;60,"venster korter dan een uur","")))</f>
        <v/>
      </c>
      <c r="D818">
        <f>IF(A818="","",770)</f>
        <v/>
      </c>
      <c r="E818">
        <f>IF(OR(Stops!A770="",Stops!E770="",Stops!F770=""),"",ROUND((Stops!F770-Stops!E770)*1440,0))</f>
        <v/>
      </c>
    </row>
    <row r="819">
      <c r="A819">
        <f>IF(Stops!A771="","",Stops!A771)</f>
        <v/>
      </c>
      <c r="B819">
        <f>IF(E819="","",IF(E819&lt;=0,"het einde ligt voor het begin",IF(E819&lt;60,"venster korter dan een uur","")))</f>
        <v/>
      </c>
      <c r="D819">
        <f>IF(A819="","",771)</f>
        <v/>
      </c>
      <c r="E819">
        <f>IF(OR(Stops!A771="",Stops!E771="",Stops!F771=""),"",ROUND((Stops!F771-Stops!E771)*1440,0))</f>
        <v/>
      </c>
    </row>
    <row r="820">
      <c r="A820">
        <f>IF(Stops!A772="","",Stops!A772)</f>
        <v/>
      </c>
      <c r="B820">
        <f>IF(E820="","",IF(E820&lt;=0,"het einde ligt voor het begin",IF(E820&lt;60,"venster korter dan een uur","")))</f>
        <v/>
      </c>
      <c r="D820">
        <f>IF(A820="","",772)</f>
        <v/>
      </c>
      <c r="E820">
        <f>IF(OR(Stops!A772="",Stops!E772="",Stops!F772=""),"",ROUND((Stops!F772-Stops!E772)*1440,0))</f>
        <v/>
      </c>
    </row>
    <row r="821">
      <c r="A821">
        <f>IF(Stops!A773="","",Stops!A773)</f>
        <v/>
      </c>
      <c r="B821">
        <f>IF(E821="","",IF(E821&lt;=0,"het einde ligt voor het begin",IF(E821&lt;60,"venster korter dan een uur","")))</f>
        <v/>
      </c>
      <c r="D821">
        <f>IF(A821="","",773)</f>
        <v/>
      </c>
      <c r="E821">
        <f>IF(OR(Stops!A773="",Stops!E773="",Stops!F773=""),"",ROUND((Stops!F773-Stops!E773)*1440,0))</f>
        <v/>
      </c>
    </row>
    <row r="822">
      <c r="A822">
        <f>IF(Stops!A774="","",Stops!A774)</f>
        <v/>
      </c>
      <c r="B822">
        <f>IF(E822="","",IF(E822&lt;=0,"het einde ligt voor het begin",IF(E822&lt;60,"venster korter dan een uur","")))</f>
        <v/>
      </c>
      <c r="D822">
        <f>IF(A822="","",774)</f>
        <v/>
      </c>
      <c r="E822">
        <f>IF(OR(Stops!A774="",Stops!E774="",Stops!F774=""),"",ROUND((Stops!F774-Stops!E774)*1440,0))</f>
        <v/>
      </c>
    </row>
    <row r="823">
      <c r="A823">
        <f>IF(Stops!A775="","",Stops!A775)</f>
        <v/>
      </c>
      <c r="B823">
        <f>IF(E823="","",IF(E823&lt;=0,"het einde ligt voor het begin",IF(E823&lt;60,"venster korter dan een uur","")))</f>
        <v/>
      </c>
      <c r="D823">
        <f>IF(A823="","",775)</f>
        <v/>
      </c>
      <c r="E823">
        <f>IF(OR(Stops!A775="",Stops!E775="",Stops!F775=""),"",ROUND((Stops!F775-Stops!E775)*1440,0))</f>
        <v/>
      </c>
    </row>
    <row r="824">
      <c r="A824">
        <f>IF(Stops!A776="","",Stops!A776)</f>
        <v/>
      </c>
      <c r="B824">
        <f>IF(E824="","",IF(E824&lt;=0,"het einde ligt voor het begin",IF(E824&lt;60,"venster korter dan een uur","")))</f>
        <v/>
      </c>
      <c r="D824">
        <f>IF(A824="","",776)</f>
        <v/>
      </c>
      <c r="E824">
        <f>IF(OR(Stops!A776="",Stops!E776="",Stops!F776=""),"",ROUND((Stops!F776-Stops!E776)*1440,0))</f>
        <v/>
      </c>
    </row>
    <row r="825">
      <c r="A825">
        <f>IF(Stops!A777="","",Stops!A777)</f>
        <v/>
      </c>
      <c r="B825">
        <f>IF(E825="","",IF(E825&lt;=0,"het einde ligt voor het begin",IF(E825&lt;60,"venster korter dan een uur","")))</f>
        <v/>
      </c>
      <c r="D825">
        <f>IF(A825="","",777)</f>
        <v/>
      </c>
      <c r="E825">
        <f>IF(OR(Stops!A777="",Stops!E777="",Stops!F777=""),"",ROUND((Stops!F777-Stops!E777)*1440,0))</f>
        <v/>
      </c>
    </row>
    <row r="826">
      <c r="A826">
        <f>IF(Stops!A778="","",Stops!A778)</f>
        <v/>
      </c>
      <c r="B826">
        <f>IF(E826="","",IF(E826&lt;=0,"het einde ligt voor het begin",IF(E826&lt;60,"venster korter dan een uur","")))</f>
        <v/>
      </c>
      <c r="D826">
        <f>IF(A826="","",778)</f>
        <v/>
      </c>
      <c r="E826">
        <f>IF(OR(Stops!A778="",Stops!E778="",Stops!F778=""),"",ROUND((Stops!F778-Stops!E778)*1440,0))</f>
        <v/>
      </c>
    </row>
    <row r="827">
      <c r="A827">
        <f>IF(Stops!A779="","",Stops!A779)</f>
        <v/>
      </c>
      <c r="B827">
        <f>IF(E827="","",IF(E827&lt;=0,"het einde ligt voor het begin",IF(E827&lt;60,"venster korter dan een uur","")))</f>
        <v/>
      </c>
      <c r="D827">
        <f>IF(A827="","",779)</f>
        <v/>
      </c>
      <c r="E827">
        <f>IF(OR(Stops!A779="",Stops!E779="",Stops!F779=""),"",ROUND((Stops!F779-Stops!E779)*1440,0))</f>
        <v/>
      </c>
    </row>
    <row r="828">
      <c r="A828">
        <f>IF(Stops!A780="","",Stops!A780)</f>
        <v/>
      </c>
      <c r="B828">
        <f>IF(E828="","",IF(E828&lt;=0,"het einde ligt voor het begin",IF(E828&lt;60,"venster korter dan een uur","")))</f>
        <v/>
      </c>
      <c r="D828">
        <f>IF(A828="","",780)</f>
        <v/>
      </c>
      <c r="E828">
        <f>IF(OR(Stops!A780="",Stops!E780="",Stops!F780=""),"",ROUND((Stops!F780-Stops!E780)*1440,0))</f>
        <v/>
      </c>
    </row>
    <row r="829">
      <c r="A829">
        <f>IF(Stops!A781="","",Stops!A781)</f>
        <v/>
      </c>
      <c r="B829">
        <f>IF(E829="","",IF(E829&lt;=0,"het einde ligt voor het begin",IF(E829&lt;60,"venster korter dan een uur","")))</f>
        <v/>
      </c>
      <c r="D829">
        <f>IF(A829="","",781)</f>
        <v/>
      </c>
      <c r="E829">
        <f>IF(OR(Stops!A781="",Stops!E781="",Stops!F781=""),"",ROUND((Stops!F781-Stops!E781)*1440,0))</f>
        <v/>
      </c>
    </row>
    <row r="830">
      <c r="A830">
        <f>IF(Stops!A782="","",Stops!A782)</f>
        <v/>
      </c>
      <c r="B830">
        <f>IF(E830="","",IF(E830&lt;=0,"het einde ligt voor het begin",IF(E830&lt;60,"venster korter dan een uur","")))</f>
        <v/>
      </c>
      <c r="D830">
        <f>IF(A830="","",782)</f>
        <v/>
      </c>
      <c r="E830">
        <f>IF(OR(Stops!A782="",Stops!E782="",Stops!F782=""),"",ROUND((Stops!F782-Stops!E782)*1440,0))</f>
        <v/>
      </c>
    </row>
    <row r="831">
      <c r="A831">
        <f>IF(Stops!A783="","",Stops!A783)</f>
        <v/>
      </c>
      <c r="B831">
        <f>IF(E831="","",IF(E831&lt;=0,"het einde ligt voor het begin",IF(E831&lt;60,"venster korter dan een uur","")))</f>
        <v/>
      </c>
      <c r="D831">
        <f>IF(A831="","",783)</f>
        <v/>
      </c>
      <c r="E831">
        <f>IF(OR(Stops!A783="",Stops!E783="",Stops!F783=""),"",ROUND((Stops!F783-Stops!E783)*1440,0))</f>
        <v/>
      </c>
    </row>
    <row r="832">
      <c r="A832">
        <f>IF(Stops!A784="","",Stops!A784)</f>
        <v/>
      </c>
      <c r="B832">
        <f>IF(E832="","",IF(E832&lt;=0,"het einde ligt voor het begin",IF(E832&lt;60,"venster korter dan een uur","")))</f>
        <v/>
      </c>
      <c r="D832">
        <f>IF(A832="","",784)</f>
        <v/>
      </c>
      <c r="E832">
        <f>IF(OR(Stops!A784="",Stops!E784="",Stops!F784=""),"",ROUND((Stops!F784-Stops!E784)*1440,0))</f>
        <v/>
      </c>
    </row>
    <row r="833">
      <c r="A833">
        <f>IF(Stops!A785="","",Stops!A785)</f>
        <v/>
      </c>
      <c r="B833">
        <f>IF(E833="","",IF(E833&lt;=0,"het einde ligt voor het begin",IF(E833&lt;60,"venster korter dan een uur","")))</f>
        <v/>
      </c>
      <c r="D833">
        <f>IF(A833="","",785)</f>
        <v/>
      </c>
      <c r="E833">
        <f>IF(OR(Stops!A785="",Stops!E785="",Stops!F785=""),"",ROUND((Stops!F785-Stops!E785)*1440,0))</f>
        <v/>
      </c>
    </row>
    <row r="834">
      <c r="A834">
        <f>IF(Stops!A786="","",Stops!A786)</f>
        <v/>
      </c>
      <c r="B834">
        <f>IF(E834="","",IF(E834&lt;=0,"het einde ligt voor het begin",IF(E834&lt;60,"venster korter dan een uur","")))</f>
        <v/>
      </c>
      <c r="D834">
        <f>IF(A834="","",786)</f>
        <v/>
      </c>
      <c r="E834">
        <f>IF(OR(Stops!A786="",Stops!E786="",Stops!F786=""),"",ROUND((Stops!F786-Stops!E786)*1440,0))</f>
        <v/>
      </c>
    </row>
    <row r="835">
      <c r="A835">
        <f>IF(Stops!A787="","",Stops!A787)</f>
        <v/>
      </c>
      <c r="B835">
        <f>IF(E835="","",IF(E835&lt;=0,"het einde ligt voor het begin",IF(E835&lt;60,"venster korter dan een uur","")))</f>
        <v/>
      </c>
      <c r="D835">
        <f>IF(A835="","",787)</f>
        <v/>
      </c>
      <c r="E835">
        <f>IF(OR(Stops!A787="",Stops!E787="",Stops!F787=""),"",ROUND((Stops!F787-Stops!E787)*1440,0))</f>
        <v/>
      </c>
    </row>
    <row r="836">
      <c r="A836">
        <f>IF(Stops!A788="","",Stops!A788)</f>
        <v/>
      </c>
      <c r="B836">
        <f>IF(E836="","",IF(E836&lt;=0,"het einde ligt voor het begin",IF(E836&lt;60,"venster korter dan een uur","")))</f>
        <v/>
      </c>
      <c r="D836">
        <f>IF(A836="","",788)</f>
        <v/>
      </c>
      <c r="E836">
        <f>IF(OR(Stops!A788="",Stops!E788="",Stops!F788=""),"",ROUND((Stops!F788-Stops!E788)*1440,0))</f>
        <v/>
      </c>
    </row>
    <row r="837">
      <c r="A837">
        <f>IF(Stops!A789="","",Stops!A789)</f>
        <v/>
      </c>
      <c r="B837">
        <f>IF(E837="","",IF(E837&lt;=0,"het einde ligt voor het begin",IF(E837&lt;60,"venster korter dan een uur","")))</f>
        <v/>
      </c>
      <c r="D837">
        <f>IF(A837="","",789)</f>
        <v/>
      </c>
      <c r="E837">
        <f>IF(OR(Stops!A789="",Stops!E789="",Stops!F789=""),"",ROUND((Stops!F789-Stops!E789)*1440,0))</f>
        <v/>
      </c>
    </row>
    <row r="838">
      <c r="A838">
        <f>IF(Stops!A790="","",Stops!A790)</f>
        <v/>
      </c>
      <c r="B838">
        <f>IF(E838="","",IF(E838&lt;=0,"het einde ligt voor het begin",IF(E838&lt;60,"venster korter dan een uur","")))</f>
        <v/>
      </c>
      <c r="D838">
        <f>IF(A838="","",790)</f>
        <v/>
      </c>
      <c r="E838">
        <f>IF(OR(Stops!A790="",Stops!E790="",Stops!F790=""),"",ROUND((Stops!F790-Stops!E790)*1440,0))</f>
        <v/>
      </c>
    </row>
    <row r="839">
      <c r="A839">
        <f>IF(Stops!A791="","",Stops!A791)</f>
        <v/>
      </c>
      <c r="B839">
        <f>IF(E839="","",IF(E839&lt;=0,"het einde ligt voor het begin",IF(E839&lt;60,"venster korter dan een uur","")))</f>
        <v/>
      </c>
      <c r="D839">
        <f>IF(A839="","",791)</f>
        <v/>
      </c>
      <c r="E839">
        <f>IF(OR(Stops!A791="",Stops!E791="",Stops!F791=""),"",ROUND((Stops!F791-Stops!E791)*1440,0))</f>
        <v/>
      </c>
    </row>
    <row r="840">
      <c r="A840">
        <f>IF(Stops!A792="","",Stops!A792)</f>
        <v/>
      </c>
      <c r="B840">
        <f>IF(E840="","",IF(E840&lt;=0,"het einde ligt voor het begin",IF(E840&lt;60,"venster korter dan een uur","")))</f>
        <v/>
      </c>
      <c r="D840">
        <f>IF(A840="","",792)</f>
        <v/>
      </c>
      <c r="E840">
        <f>IF(OR(Stops!A792="",Stops!E792="",Stops!F792=""),"",ROUND((Stops!F792-Stops!E792)*1440,0))</f>
        <v/>
      </c>
    </row>
    <row r="841">
      <c r="A841">
        <f>IF(Stops!A793="","",Stops!A793)</f>
        <v/>
      </c>
      <c r="B841">
        <f>IF(E841="","",IF(E841&lt;=0,"het einde ligt voor het begin",IF(E841&lt;60,"venster korter dan een uur","")))</f>
        <v/>
      </c>
      <c r="D841">
        <f>IF(A841="","",793)</f>
        <v/>
      </c>
      <c r="E841">
        <f>IF(OR(Stops!A793="",Stops!E793="",Stops!F793=""),"",ROUND((Stops!F793-Stops!E793)*1440,0))</f>
        <v/>
      </c>
    </row>
    <row r="842">
      <c r="A842">
        <f>IF(Stops!A794="","",Stops!A794)</f>
        <v/>
      </c>
      <c r="B842">
        <f>IF(E842="","",IF(E842&lt;=0,"het einde ligt voor het begin",IF(E842&lt;60,"venster korter dan een uur","")))</f>
        <v/>
      </c>
      <c r="D842">
        <f>IF(A842="","",794)</f>
        <v/>
      </c>
      <c r="E842">
        <f>IF(OR(Stops!A794="",Stops!E794="",Stops!F794=""),"",ROUND((Stops!F794-Stops!E794)*1440,0))</f>
        <v/>
      </c>
    </row>
    <row r="843">
      <c r="A843">
        <f>IF(Stops!A795="","",Stops!A795)</f>
        <v/>
      </c>
      <c r="B843">
        <f>IF(E843="","",IF(E843&lt;=0,"het einde ligt voor het begin",IF(E843&lt;60,"venster korter dan een uur","")))</f>
        <v/>
      </c>
      <c r="D843">
        <f>IF(A843="","",795)</f>
        <v/>
      </c>
      <c r="E843">
        <f>IF(OR(Stops!A795="",Stops!E795="",Stops!F795=""),"",ROUND((Stops!F795-Stops!E795)*1440,0))</f>
        <v/>
      </c>
    </row>
    <row r="844">
      <c r="A844">
        <f>IF(Stops!A796="","",Stops!A796)</f>
        <v/>
      </c>
      <c r="B844">
        <f>IF(E844="","",IF(E844&lt;=0,"het einde ligt voor het begin",IF(E844&lt;60,"venster korter dan een uur","")))</f>
        <v/>
      </c>
      <c r="D844">
        <f>IF(A844="","",796)</f>
        <v/>
      </c>
      <c r="E844">
        <f>IF(OR(Stops!A796="",Stops!E796="",Stops!F796=""),"",ROUND((Stops!F796-Stops!E796)*1440,0))</f>
        <v/>
      </c>
    </row>
    <row r="845">
      <c r="A845">
        <f>IF(Stops!A797="","",Stops!A797)</f>
        <v/>
      </c>
      <c r="B845">
        <f>IF(E845="","",IF(E845&lt;=0,"het einde ligt voor het begin",IF(E845&lt;60,"venster korter dan een uur","")))</f>
        <v/>
      </c>
      <c r="D845">
        <f>IF(A845="","",797)</f>
        <v/>
      </c>
      <c r="E845">
        <f>IF(OR(Stops!A797="",Stops!E797="",Stops!F797=""),"",ROUND((Stops!F797-Stops!E797)*1440,0))</f>
        <v/>
      </c>
    </row>
    <row r="846">
      <c r="A846">
        <f>IF(Stops!A798="","",Stops!A798)</f>
        <v/>
      </c>
      <c r="B846">
        <f>IF(E846="","",IF(E846&lt;=0,"het einde ligt voor het begin",IF(E846&lt;60,"venster korter dan een uur","")))</f>
        <v/>
      </c>
      <c r="D846">
        <f>IF(A846="","",798)</f>
        <v/>
      </c>
      <c r="E846">
        <f>IF(OR(Stops!A798="",Stops!E798="",Stops!F798=""),"",ROUND((Stops!F798-Stops!E798)*1440,0))</f>
        <v/>
      </c>
    </row>
    <row r="847">
      <c r="A847">
        <f>IF(Stops!A799="","",Stops!A799)</f>
        <v/>
      </c>
      <c r="B847">
        <f>IF(E847="","",IF(E847&lt;=0,"het einde ligt voor het begin",IF(E847&lt;60,"venster korter dan een uur","")))</f>
        <v/>
      </c>
      <c r="D847">
        <f>IF(A847="","",799)</f>
        <v/>
      </c>
      <c r="E847">
        <f>IF(OR(Stops!A799="",Stops!E799="",Stops!F799=""),"",ROUND((Stops!F799-Stops!E799)*1440,0))</f>
        <v/>
      </c>
    </row>
    <row r="848">
      <c r="A848">
        <f>IF(Stops!A800="","",Stops!A800)</f>
        <v/>
      </c>
      <c r="B848">
        <f>IF(E848="","",IF(E848&lt;=0,"het einde ligt voor het begin",IF(E848&lt;60,"venster korter dan een uur","")))</f>
        <v/>
      </c>
      <c r="D848">
        <f>IF(A848="","",800)</f>
        <v/>
      </c>
      <c r="E848">
        <f>IF(OR(Stops!A800="",Stops!E800="",Stops!F800=""),"",ROUND((Stops!F800-Stops!E800)*1440,0))</f>
        <v/>
      </c>
    </row>
    <row r="849">
      <c r="A849">
        <f>IF(Stops!A801="","",Stops!A801)</f>
        <v/>
      </c>
      <c r="B849">
        <f>IF(E849="","",IF(E849&lt;=0,"het einde ligt voor het begin",IF(E849&lt;60,"venster korter dan een uur","")))</f>
        <v/>
      </c>
      <c r="D849">
        <f>IF(A849="","",801)</f>
        <v/>
      </c>
      <c r="E849">
        <f>IF(OR(Stops!A801="",Stops!E801="",Stops!F801=""),"",ROUND((Stops!F801-Stops!E801)*1440,0))</f>
        <v/>
      </c>
    </row>
    <row r="850">
      <c r="A850">
        <f>IF(Stops!A802="","",Stops!A802)</f>
        <v/>
      </c>
      <c r="B850">
        <f>IF(E850="","",IF(E850&lt;=0,"het einde ligt voor het begin",IF(E850&lt;60,"venster korter dan een uur","")))</f>
        <v/>
      </c>
      <c r="D850">
        <f>IF(A850="","",802)</f>
        <v/>
      </c>
      <c r="E850">
        <f>IF(OR(Stops!A802="",Stops!E802="",Stops!F802=""),"",ROUND((Stops!F802-Stops!E802)*1440,0))</f>
        <v/>
      </c>
    </row>
    <row r="851">
      <c r="A851">
        <f>IF(Stops!A803="","",Stops!A803)</f>
        <v/>
      </c>
      <c r="B851">
        <f>IF(E851="","",IF(E851&lt;=0,"het einde ligt voor het begin",IF(E851&lt;60,"venster korter dan een uur","")))</f>
        <v/>
      </c>
      <c r="D851">
        <f>IF(A851="","",803)</f>
        <v/>
      </c>
      <c r="E851">
        <f>IF(OR(Stops!A803="",Stops!E803="",Stops!F803=""),"",ROUND((Stops!F803-Stops!E803)*1440,0))</f>
        <v/>
      </c>
    </row>
    <row r="852">
      <c r="A852">
        <f>IF(Stops!A804="","",Stops!A804)</f>
        <v/>
      </c>
      <c r="B852">
        <f>IF(E852="","",IF(E852&lt;=0,"het einde ligt voor het begin",IF(E852&lt;60,"venster korter dan een uur","")))</f>
        <v/>
      </c>
      <c r="D852">
        <f>IF(A852="","",804)</f>
        <v/>
      </c>
      <c r="E852">
        <f>IF(OR(Stops!A804="",Stops!E804="",Stops!F804=""),"",ROUND((Stops!F804-Stops!E804)*1440,0))</f>
        <v/>
      </c>
    </row>
    <row r="853">
      <c r="A853">
        <f>IF(Stops!A805="","",Stops!A805)</f>
        <v/>
      </c>
      <c r="B853">
        <f>IF(E853="","",IF(E853&lt;=0,"het einde ligt voor het begin",IF(E853&lt;60,"venster korter dan een uur","")))</f>
        <v/>
      </c>
      <c r="D853">
        <f>IF(A853="","",805)</f>
        <v/>
      </c>
      <c r="E853">
        <f>IF(OR(Stops!A805="",Stops!E805="",Stops!F805=""),"",ROUND((Stops!F805-Stops!E805)*1440,0))</f>
        <v/>
      </c>
    </row>
    <row r="854">
      <c r="A854">
        <f>IF(Stops!A806="","",Stops!A806)</f>
        <v/>
      </c>
      <c r="B854">
        <f>IF(E854="","",IF(E854&lt;=0,"het einde ligt voor het begin",IF(E854&lt;60,"venster korter dan een uur","")))</f>
        <v/>
      </c>
      <c r="D854">
        <f>IF(A854="","",806)</f>
        <v/>
      </c>
      <c r="E854">
        <f>IF(OR(Stops!A806="",Stops!E806="",Stops!F806=""),"",ROUND((Stops!F806-Stops!E806)*1440,0))</f>
        <v/>
      </c>
    </row>
    <row r="855">
      <c r="A855">
        <f>IF(Stops!A807="","",Stops!A807)</f>
        <v/>
      </c>
      <c r="B855">
        <f>IF(E855="","",IF(E855&lt;=0,"het einde ligt voor het begin",IF(E855&lt;60,"venster korter dan een uur","")))</f>
        <v/>
      </c>
      <c r="D855">
        <f>IF(A855="","",807)</f>
        <v/>
      </c>
      <c r="E855">
        <f>IF(OR(Stops!A807="",Stops!E807="",Stops!F807=""),"",ROUND((Stops!F807-Stops!E807)*1440,0))</f>
        <v/>
      </c>
    </row>
    <row r="856">
      <c r="A856">
        <f>IF(Stops!A808="","",Stops!A808)</f>
        <v/>
      </c>
      <c r="B856">
        <f>IF(E856="","",IF(E856&lt;=0,"het einde ligt voor het begin",IF(E856&lt;60,"venster korter dan een uur","")))</f>
        <v/>
      </c>
      <c r="D856">
        <f>IF(A856="","",808)</f>
        <v/>
      </c>
      <c r="E856">
        <f>IF(OR(Stops!A808="",Stops!E808="",Stops!F808=""),"",ROUND((Stops!F808-Stops!E808)*1440,0))</f>
        <v/>
      </c>
    </row>
    <row r="857">
      <c r="A857">
        <f>IF(Stops!A809="","",Stops!A809)</f>
        <v/>
      </c>
      <c r="B857">
        <f>IF(E857="","",IF(E857&lt;=0,"het einde ligt voor het begin",IF(E857&lt;60,"venster korter dan een uur","")))</f>
        <v/>
      </c>
      <c r="D857">
        <f>IF(A857="","",809)</f>
        <v/>
      </c>
      <c r="E857">
        <f>IF(OR(Stops!A809="",Stops!E809="",Stops!F809=""),"",ROUND((Stops!F809-Stops!E809)*1440,0))</f>
        <v/>
      </c>
    </row>
    <row r="858">
      <c r="A858">
        <f>IF(Stops!A810="","",Stops!A810)</f>
        <v/>
      </c>
      <c r="B858">
        <f>IF(E858="","",IF(E858&lt;=0,"het einde ligt voor het begin",IF(E858&lt;60,"venster korter dan een uur","")))</f>
        <v/>
      </c>
      <c r="D858">
        <f>IF(A858="","",810)</f>
        <v/>
      </c>
      <c r="E858">
        <f>IF(OR(Stops!A810="",Stops!E810="",Stops!F810=""),"",ROUND((Stops!F810-Stops!E810)*1440,0))</f>
        <v/>
      </c>
    </row>
    <row r="859">
      <c r="A859">
        <f>IF(Stops!A811="","",Stops!A811)</f>
        <v/>
      </c>
      <c r="B859">
        <f>IF(E859="","",IF(E859&lt;=0,"het einde ligt voor het begin",IF(E859&lt;60,"venster korter dan een uur","")))</f>
        <v/>
      </c>
      <c r="D859">
        <f>IF(A859="","",811)</f>
        <v/>
      </c>
      <c r="E859">
        <f>IF(OR(Stops!A811="",Stops!E811="",Stops!F811=""),"",ROUND((Stops!F811-Stops!E811)*1440,0))</f>
        <v/>
      </c>
    </row>
    <row r="860">
      <c r="A860">
        <f>IF(Stops!A812="","",Stops!A812)</f>
        <v/>
      </c>
      <c r="B860">
        <f>IF(E860="","",IF(E860&lt;=0,"het einde ligt voor het begin",IF(E860&lt;60,"venster korter dan een uur","")))</f>
        <v/>
      </c>
      <c r="D860">
        <f>IF(A860="","",812)</f>
        <v/>
      </c>
      <c r="E860">
        <f>IF(OR(Stops!A812="",Stops!E812="",Stops!F812=""),"",ROUND((Stops!F812-Stops!E812)*1440,0))</f>
        <v/>
      </c>
    </row>
    <row r="861">
      <c r="A861">
        <f>IF(Stops!A813="","",Stops!A813)</f>
        <v/>
      </c>
      <c r="B861">
        <f>IF(E861="","",IF(E861&lt;=0,"het einde ligt voor het begin",IF(E861&lt;60,"venster korter dan een uur","")))</f>
        <v/>
      </c>
      <c r="D861">
        <f>IF(A861="","",813)</f>
        <v/>
      </c>
      <c r="E861">
        <f>IF(OR(Stops!A813="",Stops!E813="",Stops!F813=""),"",ROUND((Stops!F813-Stops!E813)*1440,0))</f>
        <v/>
      </c>
    </row>
    <row r="862">
      <c r="A862">
        <f>IF(Stops!A814="","",Stops!A814)</f>
        <v/>
      </c>
      <c r="B862">
        <f>IF(E862="","",IF(E862&lt;=0,"het einde ligt voor het begin",IF(E862&lt;60,"venster korter dan een uur","")))</f>
        <v/>
      </c>
      <c r="D862">
        <f>IF(A862="","",814)</f>
        <v/>
      </c>
      <c r="E862">
        <f>IF(OR(Stops!A814="",Stops!E814="",Stops!F814=""),"",ROUND((Stops!F814-Stops!E814)*1440,0))</f>
        <v/>
      </c>
    </row>
    <row r="863">
      <c r="A863">
        <f>IF(Stops!A815="","",Stops!A815)</f>
        <v/>
      </c>
      <c r="B863">
        <f>IF(E863="","",IF(E863&lt;=0,"het einde ligt voor het begin",IF(E863&lt;60,"venster korter dan een uur","")))</f>
        <v/>
      </c>
      <c r="D863">
        <f>IF(A863="","",815)</f>
        <v/>
      </c>
      <c r="E863">
        <f>IF(OR(Stops!A815="",Stops!E815="",Stops!F815=""),"",ROUND((Stops!F815-Stops!E815)*1440,0))</f>
        <v/>
      </c>
    </row>
    <row r="864">
      <c r="A864">
        <f>IF(Stops!A816="","",Stops!A816)</f>
        <v/>
      </c>
      <c r="B864">
        <f>IF(E864="","",IF(E864&lt;=0,"het einde ligt voor het begin",IF(E864&lt;60,"venster korter dan een uur","")))</f>
        <v/>
      </c>
      <c r="D864">
        <f>IF(A864="","",816)</f>
        <v/>
      </c>
      <c r="E864">
        <f>IF(OR(Stops!A816="",Stops!E816="",Stops!F816=""),"",ROUND((Stops!F816-Stops!E816)*1440,0))</f>
        <v/>
      </c>
    </row>
    <row r="865">
      <c r="A865">
        <f>IF(Stops!A817="","",Stops!A817)</f>
        <v/>
      </c>
      <c r="B865">
        <f>IF(E865="","",IF(E865&lt;=0,"het einde ligt voor het begin",IF(E865&lt;60,"venster korter dan een uur","")))</f>
        <v/>
      </c>
      <c r="D865">
        <f>IF(A865="","",817)</f>
        <v/>
      </c>
      <c r="E865">
        <f>IF(OR(Stops!A817="",Stops!E817="",Stops!F817=""),"",ROUND((Stops!F817-Stops!E817)*1440,0))</f>
        <v/>
      </c>
    </row>
    <row r="866">
      <c r="A866">
        <f>IF(Stops!A818="","",Stops!A818)</f>
        <v/>
      </c>
      <c r="B866">
        <f>IF(E866="","",IF(E866&lt;=0,"het einde ligt voor het begin",IF(E866&lt;60,"venster korter dan een uur","")))</f>
        <v/>
      </c>
      <c r="D866">
        <f>IF(A866="","",818)</f>
        <v/>
      </c>
      <c r="E866">
        <f>IF(OR(Stops!A818="",Stops!E818="",Stops!F818=""),"",ROUND((Stops!F818-Stops!E818)*1440,0))</f>
        <v/>
      </c>
    </row>
    <row r="867">
      <c r="A867">
        <f>IF(Stops!A819="","",Stops!A819)</f>
        <v/>
      </c>
      <c r="B867">
        <f>IF(E867="","",IF(E867&lt;=0,"het einde ligt voor het begin",IF(E867&lt;60,"venster korter dan een uur","")))</f>
        <v/>
      </c>
      <c r="D867">
        <f>IF(A867="","",819)</f>
        <v/>
      </c>
      <c r="E867">
        <f>IF(OR(Stops!A819="",Stops!E819="",Stops!F819=""),"",ROUND((Stops!F819-Stops!E819)*1440,0))</f>
        <v/>
      </c>
    </row>
    <row r="868">
      <c r="A868">
        <f>IF(Stops!A820="","",Stops!A820)</f>
        <v/>
      </c>
      <c r="B868">
        <f>IF(E868="","",IF(E868&lt;=0,"het einde ligt voor het begin",IF(E868&lt;60,"venster korter dan een uur","")))</f>
        <v/>
      </c>
      <c r="D868">
        <f>IF(A868="","",820)</f>
        <v/>
      </c>
      <c r="E868">
        <f>IF(OR(Stops!A820="",Stops!E820="",Stops!F820=""),"",ROUND((Stops!F820-Stops!E820)*1440,0))</f>
        <v/>
      </c>
    </row>
    <row r="869">
      <c r="A869">
        <f>IF(Stops!A821="","",Stops!A821)</f>
        <v/>
      </c>
      <c r="B869">
        <f>IF(E869="","",IF(E869&lt;=0,"het einde ligt voor het begin",IF(E869&lt;60,"venster korter dan een uur","")))</f>
        <v/>
      </c>
      <c r="D869">
        <f>IF(A869="","",821)</f>
        <v/>
      </c>
      <c r="E869">
        <f>IF(OR(Stops!A821="",Stops!E821="",Stops!F821=""),"",ROUND((Stops!F821-Stops!E821)*1440,0))</f>
        <v/>
      </c>
    </row>
    <row r="870">
      <c r="A870">
        <f>IF(Stops!A822="","",Stops!A822)</f>
        <v/>
      </c>
      <c r="B870">
        <f>IF(E870="","",IF(E870&lt;=0,"het einde ligt voor het begin",IF(E870&lt;60,"venster korter dan een uur","")))</f>
        <v/>
      </c>
      <c r="D870">
        <f>IF(A870="","",822)</f>
        <v/>
      </c>
      <c r="E870">
        <f>IF(OR(Stops!A822="",Stops!E822="",Stops!F822=""),"",ROUND((Stops!F822-Stops!E822)*1440,0))</f>
        <v/>
      </c>
    </row>
    <row r="871">
      <c r="A871">
        <f>IF(Stops!A823="","",Stops!A823)</f>
        <v/>
      </c>
      <c r="B871">
        <f>IF(E871="","",IF(E871&lt;=0,"het einde ligt voor het begin",IF(E871&lt;60,"venster korter dan een uur","")))</f>
        <v/>
      </c>
      <c r="D871">
        <f>IF(A871="","",823)</f>
        <v/>
      </c>
      <c r="E871">
        <f>IF(OR(Stops!A823="",Stops!E823="",Stops!F823=""),"",ROUND((Stops!F823-Stops!E823)*1440,0))</f>
        <v/>
      </c>
    </row>
    <row r="872">
      <c r="A872">
        <f>IF(Stops!A824="","",Stops!A824)</f>
        <v/>
      </c>
      <c r="B872">
        <f>IF(E872="","",IF(E872&lt;=0,"het einde ligt voor het begin",IF(E872&lt;60,"venster korter dan een uur","")))</f>
        <v/>
      </c>
      <c r="D872">
        <f>IF(A872="","",824)</f>
        <v/>
      </c>
      <c r="E872">
        <f>IF(OR(Stops!A824="",Stops!E824="",Stops!F824=""),"",ROUND((Stops!F824-Stops!E824)*1440,0))</f>
        <v/>
      </c>
    </row>
    <row r="873">
      <c r="A873">
        <f>IF(Stops!A825="","",Stops!A825)</f>
        <v/>
      </c>
      <c r="B873">
        <f>IF(E873="","",IF(E873&lt;=0,"het einde ligt voor het begin",IF(E873&lt;60,"venster korter dan een uur","")))</f>
        <v/>
      </c>
      <c r="D873">
        <f>IF(A873="","",825)</f>
        <v/>
      </c>
      <c r="E873">
        <f>IF(OR(Stops!A825="",Stops!E825="",Stops!F825=""),"",ROUND((Stops!F825-Stops!E825)*1440,0))</f>
        <v/>
      </c>
    </row>
    <row r="874">
      <c r="A874">
        <f>IF(Stops!A826="","",Stops!A826)</f>
        <v/>
      </c>
      <c r="B874">
        <f>IF(E874="","",IF(E874&lt;=0,"het einde ligt voor het begin",IF(E874&lt;60,"venster korter dan een uur","")))</f>
        <v/>
      </c>
      <c r="D874">
        <f>IF(A874="","",826)</f>
        <v/>
      </c>
      <c r="E874">
        <f>IF(OR(Stops!A826="",Stops!E826="",Stops!F826=""),"",ROUND((Stops!F826-Stops!E826)*1440,0))</f>
        <v/>
      </c>
    </row>
    <row r="875">
      <c r="A875">
        <f>IF(Stops!A827="","",Stops!A827)</f>
        <v/>
      </c>
      <c r="B875">
        <f>IF(E875="","",IF(E875&lt;=0,"het einde ligt voor het begin",IF(E875&lt;60,"venster korter dan een uur","")))</f>
        <v/>
      </c>
      <c r="D875">
        <f>IF(A875="","",827)</f>
        <v/>
      </c>
      <c r="E875">
        <f>IF(OR(Stops!A827="",Stops!E827="",Stops!F827=""),"",ROUND((Stops!F827-Stops!E827)*1440,0))</f>
        <v/>
      </c>
    </row>
    <row r="876">
      <c r="A876">
        <f>IF(Stops!A828="","",Stops!A828)</f>
        <v/>
      </c>
      <c r="B876">
        <f>IF(E876="","",IF(E876&lt;=0,"het einde ligt voor het begin",IF(E876&lt;60,"venster korter dan een uur","")))</f>
        <v/>
      </c>
      <c r="D876">
        <f>IF(A876="","",828)</f>
        <v/>
      </c>
      <c r="E876">
        <f>IF(OR(Stops!A828="",Stops!E828="",Stops!F828=""),"",ROUND((Stops!F828-Stops!E828)*1440,0))</f>
        <v/>
      </c>
    </row>
    <row r="877">
      <c r="A877">
        <f>IF(Stops!A829="","",Stops!A829)</f>
        <v/>
      </c>
      <c r="B877">
        <f>IF(E877="","",IF(E877&lt;=0,"het einde ligt voor het begin",IF(E877&lt;60,"venster korter dan een uur","")))</f>
        <v/>
      </c>
      <c r="D877">
        <f>IF(A877="","",829)</f>
        <v/>
      </c>
      <c r="E877">
        <f>IF(OR(Stops!A829="",Stops!E829="",Stops!F829=""),"",ROUND((Stops!F829-Stops!E829)*1440,0))</f>
        <v/>
      </c>
    </row>
    <row r="878">
      <c r="A878">
        <f>IF(Stops!A830="","",Stops!A830)</f>
        <v/>
      </c>
      <c r="B878">
        <f>IF(E878="","",IF(E878&lt;=0,"het einde ligt voor het begin",IF(E878&lt;60,"venster korter dan een uur","")))</f>
        <v/>
      </c>
      <c r="D878">
        <f>IF(A878="","",830)</f>
        <v/>
      </c>
      <c r="E878">
        <f>IF(OR(Stops!A830="",Stops!E830="",Stops!F830=""),"",ROUND((Stops!F830-Stops!E830)*1440,0))</f>
        <v/>
      </c>
    </row>
    <row r="879">
      <c r="A879">
        <f>IF(Stops!A831="","",Stops!A831)</f>
        <v/>
      </c>
      <c r="B879">
        <f>IF(E879="","",IF(E879&lt;=0,"het einde ligt voor het begin",IF(E879&lt;60,"venster korter dan een uur","")))</f>
        <v/>
      </c>
      <c r="D879">
        <f>IF(A879="","",831)</f>
        <v/>
      </c>
      <c r="E879">
        <f>IF(OR(Stops!A831="",Stops!E831="",Stops!F831=""),"",ROUND((Stops!F831-Stops!E831)*1440,0))</f>
        <v/>
      </c>
    </row>
    <row r="880">
      <c r="A880">
        <f>IF(Stops!A832="","",Stops!A832)</f>
        <v/>
      </c>
      <c r="B880">
        <f>IF(E880="","",IF(E880&lt;=0,"het einde ligt voor het begin",IF(E880&lt;60,"venster korter dan een uur","")))</f>
        <v/>
      </c>
      <c r="D880">
        <f>IF(A880="","",832)</f>
        <v/>
      </c>
      <c r="E880">
        <f>IF(OR(Stops!A832="",Stops!E832="",Stops!F832=""),"",ROUND((Stops!F832-Stops!E832)*1440,0))</f>
        <v/>
      </c>
    </row>
    <row r="881">
      <c r="A881">
        <f>IF(Stops!A833="","",Stops!A833)</f>
        <v/>
      </c>
      <c r="B881">
        <f>IF(E881="","",IF(E881&lt;=0,"het einde ligt voor het begin",IF(E881&lt;60,"venster korter dan een uur","")))</f>
        <v/>
      </c>
      <c r="D881">
        <f>IF(A881="","",833)</f>
        <v/>
      </c>
      <c r="E881">
        <f>IF(OR(Stops!A833="",Stops!E833="",Stops!F833=""),"",ROUND((Stops!F833-Stops!E833)*1440,0))</f>
        <v/>
      </c>
    </row>
    <row r="882">
      <c r="A882">
        <f>IF(Stops!A834="","",Stops!A834)</f>
        <v/>
      </c>
      <c r="B882">
        <f>IF(E882="","",IF(E882&lt;=0,"het einde ligt voor het begin",IF(E882&lt;60,"venster korter dan een uur","")))</f>
        <v/>
      </c>
      <c r="D882">
        <f>IF(A882="","",834)</f>
        <v/>
      </c>
      <c r="E882">
        <f>IF(OR(Stops!A834="",Stops!E834="",Stops!F834=""),"",ROUND((Stops!F834-Stops!E834)*1440,0))</f>
        <v/>
      </c>
    </row>
    <row r="883">
      <c r="A883">
        <f>IF(Stops!A835="","",Stops!A835)</f>
        <v/>
      </c>
      <c r="B883">
        <f>IF(E883="","",IF(E883&lt;=0,"het einde ligt voor het begin",IF(E883&lt;60,"venster korter dan een uur","")))</f>
        <v/>
      </c>
      <c r="D883">
        <f>IF(A883="","",835)</f>
        <v/>
      </c>
      <c r="E883">
        <f>IF(OR(Stops!A835="",Stops!E835="",Stops!F835=""),"",ROUND((Stops!F835-Stops!E835)*1440,0))</f>
        <v/>
      </c>
    </row>
    <row r="884">
      <c r="A884">
        <f>IF(Stops!A836="","",Stops!A836)</f>
        <v/>
      </c>
      <c r="B884">
        <f>IF(E884="","",IF(E884&lt;=0,"het einde ligt voor het begin",IF(E884&lt;60,"venster korter dan een uur","")))</f>
        <v/>
      </c>
      <c r="D884">
        <f>IF(A884="","",836)</f>
        <v/>
      </c>
      <c r="E884">
        <f>IF(OR(Stops!A836="",Stops!E836="",Stops!F836=""),"",ROUND((Stops!F836-Stops!E836)*1440,0))</f>
        <v/>
      </c>
    </row>
    <row r="885">
      <c r="A885">
        <f>IF(Stops!A837="","",Stops!A837)</f>
        <v/>
      </c>
      <c r="B885">
        <f>IF(E885="","",IF(E885&lt;=0,"het einde ligt voor het begin",IF(E885&lt;60,"venster korter dan een uur","")))</f>
        <v/>
      </c>
      <c r="D885">
        <f>IF(A885="","",837)</f>
        <v/>
      </c>
      <c r="E885">
        <f>IF(OR(Stops!A837="",Stops!E837="",Stops!F837=""),"",ROUND((Stops!F837-Stops!E837)*1440,0))</f>
        <v/>
      </c>
    </row>
    <row r="886">
      <c r="A886">
        <f>IF(Stops!A838="","",Stops!A838)</f>
        <v/>
      </c>
      <c r="B886">
        <f>IF(E886="","",IF(E886&lt;=0,"het einde ligt voor het begin",IF(E886&lt;60,"venster korter dan een uur","")))</f>
        <v/>
      </c>
      <c r="D886">
        <f>IF(A886="","",838)</f>
        <v/>
      </c>
      <c r="E886">
        <f>IF(OR(Stops!A838="",Stops!E838="",Stops!F838=""),"",ROUND((Stops!F838-Stops!E838)*1440,0))</f>
        <v/>
      </c>
    </row>
    <row r="887">
      <c r="A887">
        <f>IF(Stops!A839="","",Stops!A839)</f>
        <v/>
      </c>
      <c r="B887">
        <f>IF(E887="","",IF(E887&lt;=0,"het einde ligt voor het begin",IF(E887&lt;60,"venster korter dan een uur","")))</f>
        <v/>
      </c>
      <c r="D887">
        <f>IF(A887="","",839)</f>
        <v/>
      </c>
      <c r="E887">
        <f>IF(OR(Stops!A839="",Stops!E839="",Stops!F839=""),"",ROUND((Stops!F839-Stops!E839)*1440,0))</f>
        <v/>
      </c>
    </row>
    <row r="888">
      <c r="A888">
        <f>IF(Stops!A840="","",Stops!A840)</f>
        <v/>
      </c>
      <c r="B888">
        <f>IF(E888="","",IF(E888&lt;=0,"het einde ligt voor het begin",IF(E888&lt;60,"venster korter dan een uur","")))</f>
        <v/>
      </c>
      <c r="D888">
        <f>IF(A888="","",840)</f>
        <v/>
      </c>
      <c r="E888">
        <f>IF(OR(Stops!A840="",Stops!E840="",Stops!F840=""),"",ROUND((Stops!F840-Stops!E840)*1440,0))</f>
        <v/>
      </c>
    </row>
    <row r="889">
      <c r="A889">
        <f>IF(Stops!A841="","",Stops!A841)</f>
        <v/>
      </c>
      <c r="B889">
        <f>IF(E889="","",IF(E889&lt;=0,"het einde ligt voor het begin",IF(E889&lt;60,"venster korter dan een uur","")))</f>
        <v/>
      </c>
      <c r="D889">
        <f>IF(A889="","",841)</f>
        <v/>
      </c>
      <c r="E889">
        <f>IF(OR(Stops!A841="",Stops!E841="",Stops!F841=""),"",ROUND((Stops!F841-Stops!E841)*1440,0))</f>
        <v/>
      </c>
    </row>
    <row r="890">
      <c r="A890">
        <f>IF(Stops!A842="","",Stops!A842)</f>
        <v/>
      </c>
      <c r="B890">
        <f>IF(E890="","",IF(E890&lt;=0,"het einde ligt voor het begin",IF(E890&lt;60,"venster korter dan een uur","")))</f>
        <v/>
      </c>
      <c r="D890">
        <f>IF(A890="","",842)</f>
        <v/>
      </c>
      <c r="E890">
        <f>IF(OR(Stops!A842="",Stops!E842="",Stops!F842=""),"",ROUND((Stops!F842-Stops!E842)*1440,0))</f>
        <v/>
      </c>
    </row>
    <row r="891">
      <c r="A891">
        <f>IF(Stops!A843="","",Stops!A843)</f>
        <v/>
      </c>
      <c r="B891">
        <f>IF(E891="","",IF(E891&lt;=0,"het einde ligt voor het begin",IF(E891&lt;60,"venster korter dan een uur","")))</f>
        <v/>
      </c>
      <c r="D891">
        <f>IF(A891="","",843)</f>
        <v/>
      </c>
      <c r="E891">
        <f>IF(OR(Stops!A843="",Stops!E843="",Stops!F843=""),"",ROUND((Stops!F843-Stops!E843)*1440,0))</f>
        <v/>
      </c>
    </row>
    <row r="892">
      <c r="A892">
        <f>IF(Stops!A844="","",Stops!A844)</f>
        <v/>
      </c>
      <c r="B892">
        <f>IF(E892="","",IF(E892&lt;=0,"het einde ligt voor het begin",IF(E892&lt;60,"venster korter dan een uur","")))</f>
        <v/>
      </c>
      <c r="D892">
        <f>IF(A892="","",844)</f>
        <v/>
      </c>
      <c r="E892">
        <f>IF(OR(Stops!A844="",Stops!E844="",Stops!F844=""),"",ROUND((Stops!F844-Stops!E844)*1440,0))</f>
        <v/>
      </c>
    </row>
    <row r="893">
      <c r="A893">
        <f>IF(Stops!A845="","",Stops!A845)</f>
        <v/>
      </c>
      <c r="B893">
        <f>IF(E893="","",IF(E893&lt;=0,"het einde ligt voor het begin",IF(E893&lt;60,"venster korter dan een uur","")))</f>
        <v/>
      </c>
      <c r="D893">
        <f>IF(A893="","",845)</f>
        <v/>
      </c>
      <c r="E893">
        <f>IF(OR(Stops!A845="",Stops!E845="",Stops!F845=""),"",ROUND((Stops!F845-Stops!E845)*1440,0))</f>
        <v/>
      </c>
    </row>
    <row r="894">
      <c r="A894">
        <f>IF(Stops!A846="","",Stops!A846)</f>
        <v/>
      </c>
      <c r="B894">
        <f>IF(E894="","",IF(E894&lt;=0,"het einde ligt voor het begin",IF(E894&lt;60,"venster korter dan een uur","")))</f>
        <v/>
      </c>
      <c r="D894">
        <f>IF(A894="","",846)</f>
        <v/>
      </c>
      <c r="E894">
        <f>IF(OR(Stops!A846="",Stops!E846="",Stops!F846=""),"",ROUND((Stops!F846-Stops!E846)*1440,0))</f>
        <v/>
      </c>
    </row>
    <row r="895">
      <c r="A895">
        <f>IF(Stops!A847="","",Stops!A847)</f>
        <v/>
      </c>
      <c r="B895">
        <f>IF(E895="","",IF(E895&lt;=0,"het einde ligt voor het begin",IF(E895&lt;60,"venster korter dan een uur","")))</f>
        <v/>
      </c>
      <c r="D895">
        <f>IF(A895="","",847)</f>
        <v/>
      </c>
      <c r="E895">
        <f>IF(OR(Stops!A847="",Stops!E847="",Stops!F847=""),"",ROUND((Stops!F847-Stops!E847)*1440,0))</f>
        <v/>
      </c>
    </row>
    <row r="896">
      <c r="A896">
        <f>IF(Stops!A848="","",Stops!A848)</f>
        <v/>
      </c>
      <c r="B896">
        <f>IF(E896="","",IF(E896&lt;=0,"het einde ligt voor het begin",IF(E896&lt;60,"venster korter dan een uur","")))</f>
        <v/>
      </c>
      <c r="D896">
        <f>IF(A896="","",848)</f>
        <v/>
      </c>
      <c r="E896">
        <f>IF(OR(Stops!A848="",Stops!E848="",Stops!F848=""),"",ROUND((Stops!F848-Stops!E848)*1440,0))</f>
        <v/>
      </c>
    </row>
    <row r="897">
      <c r="A897">
        <f>IF(Stops!A849="","",Stops!A849)</f>
        <v/>
      </c>
      <c r="B897">
        <f>IF(E897="","",IF(E897&lt;=0,"het einde ligt voor het begin",IF(E897&lt;60,"venster korter dan een uur","")))</f>
        <v/>
      </c>
      <c r="D897">
        <f>IF(A897="","",849)</f>
        <v/>
      </c>
      <c r="E897">
        <f>IF(OR(Stops!A849="",Stops!E849="",Stops!F849=""),"",ROUND((Stops!F849-Stops!E849)*1440,0))</f>
        <v/>
      </c>
    </row>
    <row r="898">
      <c r="A898">
        <f>IF(Stops!A850="","",Stops!A850)</f>
        <v/>
      </c>
      <c r="B898">
        <f>IF(E898="","",IF(E898&lt;=0,"het einde ligt voor het begin",IF(E898&lt;60,"venster korter dan een uur","")))</f>
        <v/>
      </c>
      <c r="D898">
        <f>IF(A898="","",850)</f>
        <v/>
      </c>
      <c r="E898">
        <f>IF(OR(Stops!A850="",Stops!E850="",Stops!F850=""),"",ROUND((Stops!F850-Stops!E850)*1440,0))</f>
        <v/>
      </c>
    </row>
    <row r="899">
      <c r="A899">
        <f>IF(Stops!A851="","",Stops!A851)</f>
        <v/>
      </c>
      <c r="B899">
        <f>IF(E899="","",IF(E899&lt;=0,"het einde ligt voor het begin",IF(E899&lt;60,"venster korter dan een uur","")))</f>
        <v/>
      </c>
      <c r="D899">
        <f>IF(A899="","",851)</f>
        <v/>
      </c>
      <c r="E899">
        <f>IF(OR(Stops!A851="",Stops!E851="",Stops!F851=""),"",ROUND((Stops!F851-Stops!E851)*1440,0))</f>
        <v/>
      </c>
    </row>
    <row r="900">
      <c r="A900">
        <f>IF(Stops!A852="","",Stops!A852)</f>
        <v/>
      </c>
      <c r="B900">
        <f>IF(E900="","",IF(E900&lt;=0,"het einde ligt voor het begin",IF(E900&lt;60,"venster korter dan een uur","")))</f>
        <v/>
      </c>
      <c r="D900">
        <f>IF(A900="","",852)</f>
        <v/>
      </c>
      <c r="E900">
        <f>IF(OR(Stops!A852="",Stops!E852="",Stops!F852=""),"",ROUND((Stops!F852-Stops!E852)*1440,0))</f>
        <v/>
      </c>
    </row>
    <row r="901">
      <c r="A901">
        <f>IF(Stops!A853="","",Stops!A853)</f>
        <v/>
      </c>
      <c r="B901">
        <f>IF(E901="","",IF(E901&lt;=0,"het einde ligt voor het begin",IF(E901&lt;60,"venster korter dan een uur","")))</f>
        <v/>
      </c>
      <c r="D901">
        <f>IF(A901="","",853)</f>
        <v/>
      </c>
      <c r="E901">
        <f>IF(OR(Stops!A853="",Stops!E853="",Stops!F853=""),"",ROUND((Stops!F853-Stops!E853)*1440,0))</f>
        <v/>
      </c>
    </row>
    <row r="902">
      <c r="A902">
        <f>IF(Stops!A854="","",Stops!A854)</f>
        <v/>
      </c>
      <c r="B902">
        <f>IF(E902="","",IF(E902&lt;=0,"het einde ligt voor het begin",IF(E902&lt;60,"venster korter dan een uur","")))</f>
        <v/>
      </c>
      <c r="D902">
        <f>IF(A902="","",854)</f>
        <v/>
      </c>
      <c r="E902">
        <f>IF(OR(Stops!A854="",Stops!E854="",Stops!F854=""),"",ROUND((Stops!F854-Stops!E854)*1440,0))</f>
        <v/>
      </c>
    </row>
    <row r="903">
      <c r="A903">
        <f>IF(Stops!A855="","",Stops!A855)</f>
        <v/>
      </c>
      <c r="B903">
        <f>IF(E903="","",IF(E903&lt;=0,"het einde ligt voor het begin",IF(E903&lt;60,"venster korter dan een uur","")))</f>
        <v/>
      </c>
      <c r="D903">
        <f>IF(A903="","",855)</f>
        <v/>
      </c>
      <c r="E903">
        <f>IF(OR(Stops!A855="",Stops!E855="",Stops!F855=""),"",ROUND((Stops!F855-Stops!E855)*1440,0))</f>
        <v/>
      </c>
    </row>
    <row r="904">
      <c r="A904">
        <f>IF(Stops!A856="","",Stops!A856)</f>
        <v/>
      </c>
      <c r="B904">
        <f>IF(E904="","",IF(E904&lt;=0,"het einde ligt voor het begin",IF(E904&lt;60,"venster korter dan een uur","")))</f>
        <v/>
      </c>
      <c r="D904">
        <f>IF(A904="","",856)</f>
        <v/>
      </c>
      <c r="E904">
        <f>IF(OR(Stops!A856="",Stops!E856="",Stops!F856=""),"",ROUND((Stops!F856-Stops!E856)*1440,0))</f>
        <v/>
      </c>
    </row>
    <row r="905">
      <c r="A905">
        <f>IF(Stops!A857="","",Stops!A857)</f>
        <v/>
      </c>
      <c r="B905">
        <f>IF(E905="","",IF(E905&lt;=0,"het einde ligt voor het begin",IF(E905&lt;60,"venster korter dan een uur","")))</f>
        <v/>
      </c>
      <c r="D905">
        <f>IF(A905="","",857)</f>
        <v/>
      </c>
      <c r="E905">
        <f>IF(OR(Stops!A857="",Stops!E857="",Stops!F857=""),"",ROUND((Stops!F857-Stops!E857)*1440,0))</f>
        <v/>
      </c>
    </row>
    <row r="906">
      <c r="A906">
        <f>IF(Stops!A858="","",Stops!A858)</f>
        <v/>
      </c>
      <c r="B906">
        <f>IF(E906="","",IF(E906&lt;=0,"het einde ligt voor het begin",IF(E906&lt;60,"venster korter dan een uur","")))</f>
        <v/>
      </c>
      <c r="D906">
        <f>IF(A906="","",858)</f>
        <v/>
      </c>
      <c r="E906">
        <f>IF(OR(Stops!A858="",Stops!E858="",Stops!F858=""),"",ROUND((Stops!F858-Stops!E858)*1440,0))</f>
        <v/>
      </c>
    </row>
    <row r="907">
      <c r="A907">
        <f>IF(Stops!A859="","",Stops!A859)</f>
        <v/>
      </c>
      <c r="B907">
        <f>IF(E907="","",IF(E907&lt;=0,"het einde ligt voor het begin",IF(E907&lt;60,"venster korter dan een uur","")))</f>
        <v/>
      </c>
      <c r="D907">
        <f>IF(A907="","",859)</f>
        <v/>
      </c>
      <c r="E907">
        <f>IF(OR(Stops!A859="",Stops!E859="",Stops!F859=""),"",ROUND((Stops!F859-Stops!E859)*1440,0))</f>
        <v/>
      </c>
    </row>
    <row r="908">
      <c r="A908">
        <f>IF(Stops!A860="","",Stops!A860)</f>
        <v/>
      </c>
      <c r="B908">
        <f>IF(E908="","",IF(E908&lt;=0,"het einde ligt voor het begin",IF(E908&lt;60,"venster korter dan een uur","")))</f>
        <v/>
      </c>
      <c r="D908">
        <f>IF(A908="","",860)</f>
        <v/>
      </c>
      <c r="E908">
        <f>IF(OR(Stops!A860="",Stops!E860="",Stops!F860=""),"",ROUND((Stops!F860-Stops!E860)*1440,0))</f>
        <v/>
      </c>
    </row>
    <row r="909">
      <c r="A909">
        <f>IF(Stops!A861="","",Stops!A861)</f>
        <v/>
      </c>
      <c r="B909">
        <f>IF(E909="","",IF(E909&lt;=0,"het einde ligt voor het begin",IF(E909&lt;60,"venster korter dan een uur","")))</f>
        <v/>
      </c>
      <c r="D909">
        <f>IF(A909="","",861)</f>
        <v/>
      </c>
      <c r="E909">
        <f>IF(OR(Stops!A861="",Stops!E861="",Stops!F861=""),"",ROUND((Stops!F861-Stops!E861)*1440,0))</f>
        <v/>
      </c>
    </row>
    <row r="910">
      <c r="A910">
        <f>IF(Stops!A862="","",Stops!A862)</f>
        <v/>
      </c>
      <c r="B910">
        <f>IF(E910="","",IF(E910&lt;=0,"het einde ligt voor het begin",IF(E910&lt;60,"venster korter dan een uur","")))</f>
        <v/>
      </c>
      <c r="D910">
        <f>IF(A910="","",862)</f>
        <v/>
      </c>
      <c r="E910">
        <f>IF(OR(Stops!A862="",Stops!E862="",Stops!F862=""),"",ROUND((Stops!F862-Stops!E862)*1440,0))</f>
        <v/>
      </c>
    </row>
    <row r="911">
      <c r="A911">
        <f>IF(Stops!A863="","",Stops!A863)</f>
        <v/>
      </c>
      <c r="B911">
        <f>IF(E911="","",IF(E911&lt;=0,"het einde ligt voor het begin",IF(E911&lt;60,"venster korter dan een uur","")))</f>
        <v/>
      </c>
      <c r="D911">
        <f>IF(A911="","",863)</f>
        <v/>
      </c>
      <c r="E911">
        <f>IF(OR(Stops!A863="",Stops!E863="",Stops!F863=""),"",ROUND((Stops!F863-Stops!E863)*1440,0))</f>
        <v/>
      </c>
    </row>
    <row r="912">
      <c r="A912">
        <f>IF(Stops!A864="","",Stops!A864)</f>
        <v/>
      </c>
      <c r="B912">
        <f>IF(E912="","",IF(E912&lt;=0,"het einde ligt voor het begin",IF(E912&lt;60,"venster korter dan een uur","")))</f>
        <v/>
      </c>
      <c r="D912">
        <f>IF(A912="","",864)</f>
        <v/>
      </c>
      <c r="E912">
        <f>IF(OR(Stops!A864="",Stops!E864="",Stops!F864=""),"",ROUND((Stops!F864-Stops!E864)*1440,0))</f>
        <v/>
      </c>
    </row>
    <row r="913">
      <c r="A913">
        <f>IF(Stops!A865="","",Stops!A865)</f>
        <v/>
      </c>
      <c r="B913">
        <f>IF(E913="","",IF(E913&lt;=0,"het einde ligt voor het begin",IF(E913&lt;60,"venster korter dan een uur","")))</f>
        <v/>
      </c>
      <c r="D913">
        <f>IF(A913="","",865)</f>
        <v/>
      </c>
      <c r="E913">
        <f>IF(OR(Stops!A865="",Stops!E865="",Stops!F865=""),"",ROUND((Stops!F865-Stops!E865)*1440,0))</f>
        <v/>
      </c>
    </row>
    <row r="914">
      <c r="A914">
        <f>IF(Stops!A866="","",Stops!A866)</f>
        <v/>
      </c>
      <c r="B914">
        <f>IF(E914="","",IF(E914&lt;=0,"het einde ligt voor het begin",IF(E914&lt;60,"venster korter dan een uur","")))</f>
        <v/>
      </c>
      <c r="D914">
        <f>IF(A914="","",866)</f>
        <v/>
      </c>
      <c r="E914">
        <f>IF(OR(Stops!A866="",Stops!E866="",Stops!F866=""),"",ROUND((Stops!F866-Stops!E866)*1440,0))</f>
        <v/>
      </c>
    </row>
    <row r="915">
      <c r="A915">
        <f>IF(Stops!A867="","",Stops!A867)</f>
        <v/>
      </c>
      <c r="B915">
        <f>IF(E915="","",IF(E915&lt;=0,"het einde ligt voor het begin",IF(E915&lt;60,"venster korter dan een uur","")))</f>
        <v/>
      </c>
      <c r="D915">
        <f>IF(A915="","",867)</f>
        <v/>
      </c>
      <c r="E915">
        <f>IF(OR(Stops!A867="",Stops!E867="",Stops!F867=""),"",ROUND((Stops!F867-Stops!E867)*1440,0))</f>
        <v/>
      </c>
    </row>
    <row r="916">
      <c r="A916">
        <f>IF(Stops!A868="","",Stops!A868)</f>
        <v/>
      </c>
      <c r="B916">
        <f>IF(E916="","",IF(E916&lt;=0,"het einde ligt voor het begin",IF(E916&lt;60,"venster korter dan een uur","")))</f>
        <v/>
      </c>
      <c r="D916">
        <f>IF(A916="","",868)</f>
        <v/>
      </c>
      <c r="E916">
        <f>IF(OR(Stops!A868="",Stops!E868="",Stops!F868=""),"",ROUND((Stops!F868-Stops!E868)*1440,0))</f>
        <v/>
      </c>
    </row>
    <row r="917">
      <c r="A917">
        <f>IF(Stops!A869="","",Stops!A869)</f>
        <v/>
      </c>
      <c r="B917">
        <f>IF(E917="","",IF(E917&lt;=0,"het einde ligt voor het begin",IF(E917&lt;60,"venster korter dan een uur","")))</f>
        <v/>
      </c>
      <c r="D917">
        <f>IF(A917="","",869)</f>
        <v/>
      </c>
      <c r="E917">
        <f>IF(OR(Stops!A869="",Stops!E869="",Stops!F869=""),"",ROUND((Stops!F869-Stops!E869)*1440,0))</f>
        <v/>
      </c>
    </row>
    <row r="918">
      <c r="A918">
        <f>IF(Stops!A870="","",Stops!A870)</f>
        <v/>
      </c>
      <c r="B918">
        <f>IF(E918="","",IF(E918&lt;=0,"het einde ligt voor het begin",IF(E918&lt;60,"venster korter dan een uur","")))</f>
        <v/>
      </c>
      <c r="D918">
        <f>IF(A918="","",870)</f>
        <v/>
      </c>
      <c r="E918">
        <f>IF(OR(Stops!A870="",Stops!E870="",Stops!F870=""),"",ROUND((Stops!F870-Stops!E870)*1440,0))</f>
        <v/>
      </c>
    </row>
    <row r="919">
      <c r="A919">
        <f>IF(Stops!A871="","",Stops!A871)</f>
        <v/>
      </c>
      <c r="B919">
        <f>IF(E919="","",IF(E919&lt;=0,"het einde ligt voor het begin",IF(E919&lt;60,"venster korter dan een uur","")))</f>
        <v/>
      </c>
      <c r="D919">
        <f>IF(A919="","",871)</f>
        <v/>
      </c>
      <c r="E919">
        <f>IF(OR(Stops!A871="",Stops!E871="",Stops!F871=""),"",ROUND((Stops!F871-Stops!E871)*1440,0))</f>
        <v/>
      </c>
    </row>
    <row r="920">
      <c r="A920">
        <f>IF(Stops!A872="","",Stops!A872)</f>
        <v/>
      </c>
      <c r="B920">
        <f>IF(E920="","",IF(E920&lt;=0,"het einde ligt voor het begin",IF(E920&lt;60,"venster korter dan een uur","")))</f>
        <v/>
      </c>
      <c r="D920">
        <f>IF(A920="","",872)</f>
        <v/>
      </c>
      <c r="E920">
        <f>IF(OR(Stops!A872="",Stops!E872="",Stops!F872=""),"",ROUND((Stops!F872-Stops!E872)*1440,0))</f>
        <v/>
      </c>
    </row>
    <row r="921">
      <c r="A921">
        <f>IF(Stops!A873="","",Stops!A873)</f>
        <v/>
      </c>
      <c r="B921">
        <f>IF(E921="","",IF(E921&lt;=0,"het einde ligt voor het begin",IF(E921&lt;60,"venster korter dan een uur","")))</f>
        <v/>
      </c>
      <c r="D921">
        <f>IF(A921="","",873)</f>
        <v/>
      </c>
      <c r="E921">
        <f>IF(OR(Stops!A873="",Stops!E873="",Stops!F873=""),"",ROUND((Stops!F873-Stops!E873)*1440,0))</f>
        <v/>
      </c>
    </row>
    <row r="922">
      <c r="A922">
        <f>IF(Stops!A874="","",Stops!A874)</f>
        <v/>
      </c>
      <c r="B922">
        <f>IF(E922="","",IF(E922&lt;=0,"het einde ligt voor het begin",IF(E922&lt;60,"venster korter dan een uur","")))</f>
        <v/>
      </c>
      <c r="D922">
        <f>IF(A922="","",874)</f>
        <v/>
      </c>
      <c r="E922">
        <f>IF(OR(Stops!A874="",Stops!E874="",Stops!F874=""),"",ROUND((Stops!F874-Stops!E874)*1440,0))</f>
        <v/>
      </c>
    </row>
    <row r="923">
      <c r="A923">
        <f>IF(Stops!A875="","",Stops!A875)</f>
        <v/>
      </c>
      <c r="B923">
        <f>IF(E923="","",IF(E923&lt;=0,"het einde ligt voor het begin",IF(E923&lt;60,"venster korter dan een uur","")))</f>
        <v/>
      </c>
      <c r="D923">
        <f>IF(A923="","",875)</f>
        <v/>
      </c>
      <c r="E923">
        <f>IF(OR(Stops!A875="",Stops!E875="",Stops!F875=""),"",ROUND((Stops!F875-Stops!E875)*1440,0))</f>
        <v/>
      </c>
    </row>
    <row r="924">
      <c r="A924">
        <f>IF(Stops!A876="","",Stops!A876)</f>
        <v/>
      </c>
      <c r="B924">
        <f>IF(E924="","",IF(E924&lt;=0,"het einde ligt voor het begin",IF(E924&lt;60,"venster korter dan een uur","")))</f>
        <v/>
      </c>
      <c r="D924">
        <f>IF(A924="","",876)</f>
        <v/>
      </c>
      <c r="E924">
        <f>IF(OR(Stops!A876="",Stops!E876="",Stops!F876=""),"",ROUND((Stops!F876-Stops!E876)*1440,0))</f>
        <v/>
      </c>
    </row>
    <row r="925">
      <c r="A925">
        <f>IF(Stops!A877="","",Stops!A877)</f>
        <v/>
      </c>
      <c r="B925">
        <f>IF(E925="","",IF(E925&lt;=0,"het einde ligt voor het begin",IF(E925&lt;60,"venster korter dan een uur","")))</f>
        <v/>
      </c>
      <c r="D925">
        <f>IF(A925="","",877)</f>
        <v/>
      </c>
      <c r="E925">
        <f>IF(OR(Stops!A877="",Stops!E877="",Stops!F877=""),"",ROUND((Stops!F877-Stops!E877)*1440,0))</f>
        <v/>
      </c>
    </row>
    <row r="926">
      <c r="A926">
        <f>IF(Stops!A878="","",Stops!A878)</f>
        <v/>
      </c>
      <c r="B926">
        <f>IF(E926="","",IF(E926&lt;=0,"het einde ligt voor het begin",IF(E926&lt;60,"venster korter dan een uur","")))</f>
        <v/>
      </c>
      <c r="D926">
        <f>IF(A926="","",878)</f>
        <v/>
      </c>
      <c r="E926">
        <f>IF(OR(Stops!A878="",Stops!E878="",Stops!F878=""),"",ROUND((Stops!F878-Stops!E878)*1440,0))</f>
        <v/>
      </c>
    </row>
    <row r="927">
      <c r="A927">
        <f>IF(Stops!A879="","",Stops!A879)</f>
        <v/>
      </c>
      <c r="B927">
        <f>IF(E927="","",IF(E927&lt;=0,"het einde ligt voor het begin",IF(E927&lt;60,"venster korter dan een uur","")))</f>
        <v/>
      </c>
      <c r="D927">
        <f>IF(A927="","",879)</f>
        <v/>
      </c>
      <c r="E927">
        <f>IF(OR(Stops!A879="",Stops!E879="",Stops!F879=""),"",ROUND((Stops!F879-Stops!E879)*1440,0))</f>
        <v/>
      </c>
    </row>
    <row r="928">
      <c r="A928">
        <f>IF(Stops!A880="","",Stops!A880)</f>
        <v/>
      </c>
      <c r="B928">
        <f>IF(E928="","",IF(E928&lt;=0,"het einde ligt voor het begin",IF(E928&lt;60,"venster korter dan een uur","")))</f>
        <v/>
      </c>
      <c r="D928">
        <f>IF(A928="","",880)</f>
        <v/>
      </c>
      <c r="E928">
        <f>IF(OR(Stops!A880="",Stops!E880="",Stops!F880=""),"",ROUND((Stops!F880-Stops!E880)*1440,0))</f>
        <v/>
      </c>
    </row>
    <row r="929">
      <c r="A929">
        <f>IF(Stops!A881="","",Stops!A881)</f>
        <v/>
      </c>
      <c r="B929">
        <f>IF(E929="","",IF(E929&lt;=0,"het einde ligt voor het begin",IF(E929&lt;60,"venster korter dan een uur","")))</f>
        <v/>
      </c>
      <c r="D929">
        <f>IF(A929="","",881)</f>
        <v/>
      </c>
      <c r="E929">
        <f>IF(OR(Stops!A881="",Stops!E881="",Stops!F881=""),"",ROUND((Stops!F881-Stops!E881)*1440,0))</f>
        <v/>
      </c>
    </row>
    <row r="930">
      <c r="A930">
        <f>IF(Stops!A882="","",Stops!A882)</f>
        <v/>
      </c>
      <c r="B930">
        <f>IF(E930="","",IF(E930&lt;=0,"het einde ligt voor het begin",IF(E930&lt;60,"venster korter dan een uur","")))</f>
        <v/>
      </c>
      <c r="D930">
        <f>IF(A930="","",882)</f>
        <v/>
      </c>
      <c r="E930">
        <f>IF(OR(Stops!A882="",Stops!E882="",Stops!F882=""),"",ROUND((Stops!F882-Stops!E882)*1440,0))</f>
        <v/>
      </c>
    </row>
    <row r="931">
      <c r="A931">
        <f>IF(Stops!A883="","",Stops!A883)</f>
        <v/>
      </c>
      <c r="B931">
        <f>IF(E931="","",IF(E931&lt;=0,"het einde ligt voor het begin",IF(E931&lt;60,"venster korter dan een uur","")))</f>
        <v/>
      </c>
      <c r="D931">
        <f>IF(A931="","",883)</f>
        <v/>
      </c>
      <c r="E931">
        <f>IF(OR(Stops!A883="",Stops!E883="",Stops!F883=""),"",ROUND((Stops!F883-Stops!E883)*1440,0))</f>
        <v/>
      </c>
    </row>
    <row r="932">
      <c r="A932">
        <f>IF(Stops!A884="","",Stops!A884)</f>
        <v/>
      </c>
      <c r="B932">
        <f>IF(E932="","",IF(E932&lt;=0,"het einde ligt voor het begin",IF(E932&lt;60,"venster korter dan een uur","")))</f>
        <v/>
      </c>
      <c r="D932">
        <f>IF(A932="","",884)</f>
        <v/>
      </c>
      <c r="E932">
        <f>IF(OR(Stops!A884="",Stops!E884="",Stops!F884=""),"",ROUND((Stops!F884-Stops!E884)*1440,0))</f>
        <v/>
      </c>
    </row>
    <row r="933">
      <c r="A933">
        <f>IF(Stops!A885="","",Stops!A885)</f>
        <v/>
      </c>
      <c r="B933">
        <f>IF(E933="","",IF(E933&lt;=0,"het einde ligt voor het begin",IF(E933&lt;60,"venster korter dan een uur","")))</f>
        <v/>
      </c>
      <c r="D933">
        <f>IF(A933="","",885)</f>
        <v/>
      </c>
      <c r="E933">
        <f>IF(OR(Stops!A885="",Stops!E885="",Stops!F885=""),"",ROUND((Stops!F885-Stops!E885)*1440,0))</f>
        <v/>
      </c>
    </row>
    <row r="934">
      <c r="A934">
        <f>IF(Stops!A886="","",Stops!A886)</f>
        <v/>
      </c>
      <c r="B934">
        <f>IF(E934="","",IF(E934&lt;=0,"het einde ligt voor het begin",IF(E934&lt;60,"venster korter dan een uur","")))</f>
        <v/>
      </c>
      <c r="D934">
        <f>IF(A934="","",886)</f>
        <v/>
      </c>
      <c r="E934">
        <f>IF(OR(Stops!A886="",Stops!E886="",Stops!F886=""),"",ROUND((Stops!F886-Stops!E886)*1440,0))</f>
        <v/>
      </c>
    </row>
    <row r="935">
      <c r="A935">
        <f>IF(Stops!A887="","",Stops!A887)</f>
        <v/>
      </c>
      <c r="B935">
        <f>IF(E935="","",IF(E935&lt;=0,"het einde ligt voor het begin",IF(E935&lt;60,"venster korter dan een uur","")))</f>
        <v/>
      </c>
      <c r="D935">
        <f>IF(A935="","",887)</f>
        <v/>
      </c>
      <c r="E935">
        <f>IF(OR(Stops!A887="",Stops!E887="",Stops!F887=""),"",ROUND((Stops!F887-Stops!E887)*1440,0))</f>
        <v/>
      </c>
    </row>
    <row r="936">
      <c r="A936">
        <f>IF(Stops!A888="","",Stops!A888)</f>
        <v/>
      </c>
      <c r="B936">
        <f>IF(E936="","",IF(E936&lt;=0,"het einde ligt voor het begin",IF(E936&lt;60,"venster korter dan een uur","")))</f>
        <v/>
      </c>
      <c r="D936">
        <f>IF(A936="","",888)</f>
        <v/>
      </c>
      <c r="E936">
        <f>IF(OR(Stops!A888="",Stops!E888="",Stops!F888=""),"",ROUND((Stops!F888-Stops!E888)*1440,0))</f>
        <v/>
      </c>
    </row>
    <row r="937">
      <c r="A937">
        <f>IF(Stops!A889="","",Stops!A889)</f>
        <v/>
      </c>
      <c r="B937">
        <f>IF(E937="","",IF(E937&lt;=0,"het einde ligt voor het begin",IF(E937&lt;60,"venster korter dan een uur","")))</f>
        <v/>
      </c>
      <c r="D937">
        <f>IF(A937="","",889)</f>
        <v/>
      </c>
      <c r="E937">
        <f>IF(OR(Stops!A889="",Stops!E889="",Stops!F889=""),"",ROUND((Stops!F889-Stops!E889)*1440,0))</f>
        <v/>
      </c>
    </row>
    <row r="938">
      <c r="A938">
        <f>IF(Stops!A890="","",Stops!A890)</f>
        <v/>
      </c>
      <c r="B938">
        <f>IF(E938="","",IF(E938&lt;=0,"het einde ligt voor het begin",IF(E938&lt;60,"venster korter dan een uur","")))</f>
        <v/>
      </c>
      <c r="D938">
        <f>IF(A938="","",890)</f>
        <v/>
      </c>
      <c r="E938">
        <f>IF(OR(Stops!A890="",Stops!E890="",Stops!F890=""),"",ROUND((Stops!F890-Stops!E890)*1440,0))</f>
        <v/>
      </c>
    </row>
    <row r="939">
      <c r="A939">
        <f>IF(Stops!A891="","",Stops!A891)</f>
        <v/>
      </c>
      <c r="B939">
        <f>IF(E939="","",IF(E939&lt;=0,"het einde ligt voor het begin",IF(E939&lt;60,"venster korter dan een uur","")))</f>
        <v/>
      </c>
      <c r="D939">
        <f>IF(A939="","",891)</f>
        <v/>
      </c>
      <c r="E939">
        <f>IF(OR(Stops!A891="",Stops!E891="",Stops!F891=""),"",ROUND((Stops!F891-Stops!E891)*1440,0))</f>
        <v/>
      </c>
    </row>
    <row r="940">
      <c r="A940">
        <f>IF(Stops!A892="","",Stops!A892)</f>
        <v/>
      </c>
      <c r="B940">
        <f>IF(E940="","",IF(E940&lt;=0,"het einde ligt voor het begin",IF(E940&lt;60,"venster korter dan een uur","")))</f>
        <v/>
      </c>
      <c r="D940">
        <f>IF(A940="","",892)</f>
        <v/>
      </c>
      <c r="E940">
        <f>IF(OR(Stops!A892="",Stops!E892="",Stops!F892=""),"",ROUND((Stops!F892-Stops!E892)*1440,0))</f>
        <v/>
      </c>
    </row>
    <row r="941">
      <c r="A941">
        <f>IF(Stops!A893="","",Stops!A893)</f>
        <v/>
      </c>
      <c r="B941">
        <f>IF(E941="","",IF(E941&lt;=0,"het einde ligt voor het begin",IF(E941&lt;60,"venster korter dan een uur","")))</f>
        <v/>
      </c>
      <c r="D941">
        <f>IF(A941="","",893)</f>
        <v/>
      </c>
      <c r="E941">
        <f>IF(OR(Stops!A893="",Stops!E893="",Stops!F893=""),"",ROUND((Stops!F893-Stops!E893)*1440,0))</f>
        <v/>
      </c>
    </row>
    <row r="942">
      <c r="A942">
        <f>IF(Stops!A894="","",Stops!A894)</f>
        <v/>
      </c>
      <c r="B942">
        <f>IF(E942="","",IF(E942&lt;=0,"het einde ligt voor het begin",IF(E942&lt;60,"venster korter dan een uur","")))</f>
        <v/>
      </c>
      <c r="D942">
        <f>IF(A942="","",894)</f>
        <v/>
      </c>
      <c r="E942">
        <f>IF(OR(Stops!A894="",Stops!E894="",Stops!F894=""),"",ROUND((Stops!F894-Stops!E894)*1440,0))</f>
        <v/>
      </c>
    </row>
    <row r="943">
      <c r="A943">
        <f>IF(Stops!A895="","",Stops!A895)</f>
        <v/>
      </c>
      <c r="B943">
        <f>IF(E943="","",IF(E943&lt;=0,"het einde ligt voor het begin",IF(E943&lt;60,"venster korter dan een uur","")))</f>
        <v/>
      </c>
      <c r="D943">
        <f>IF(A943="","",895)</f>
        <v/>
      </c>
      <c r="E943">
        <f>IF(OR(Stops!A895="",Stops!E895="",Stops!F895=""),"",ROUND((Stops!F895-Stops!E895)*1440,0))</f>
        <v/>
      </c>
    </row>
    <row r="944">
      <c r="A944">
        <f>IF(Stops!A896="","",Stops!A896)</f>
        <v/>
      </c>
      <c r="B944">
        <f>IF(E944="","",IF(E944&lt;=0,"het einde ligt voor het begin",IF(E944&lt;60,"venster korter dan een uur","")))</f>
        <v/>
      </c>
      <c r="D944">
        <f>IF(A944="","",896)</f>
        <v/>
      </c>
      <c r="E944">
        <f>IF(OR(Stops!A896="",Stops!E896="",Stops!F896=""),"",ROUND((Stops!F896-Stops!E896)*1440,0))</f>
        <v/>
      </c>
    </row>
    <row r="945">
      <c r="A945">
        <f>IF(Stops!A897="","",Stops!A897)</f>
        <v/>
      </c>
      <c r="B945">
        <f>IF(E945="","",IF(E945&lt;=0,"het einde ligt voor het begin",IF(E945&lt;60,"venster korter dan een uur","")))</f>
        <v/>
      </c>
      <c r="D945">
        <f>IF(A945="","",897)</f>
        <v/>
      </c>
      <c r="E945">
        <f>IF(OR(Stops!A897="",Stops!E897="",Stops!F897=""),"",ROUND((Stops!F897-Stops!E897)*1440,0))</f>
        <v/>
      </c>
    </row>
    <row r="946">
      <c r="A946">
        <f>IF(Stops!A898="","",Stops!A898)</f>
        <v/>
      </c>
      <c r="B946">
        <f>IF(E946="","",IF(E946&lt;=0,"het einde ligt voor het begin",IF(E946&lt;60,"venster korter dan een uur","")))</f>
        <v/>
      </c>
      <c r="D946">
        <f>IF(A946="","",898)</f>
        <v/>
      </c>
      <c r="E946">
        <f>IF(OR(Stops!A898="",Stops!E898="",Stops!F898=""),"",ROUND((Stops!F898-Stops!E898)*1440,0))</f>
        <v/>
      </c>
    </row>
    <row r="947">
      <c r="A947">
        <f>IF(Stops!A899="","",Stops!A899)</f>
        <v/>
      </c>
      <c r="B947">
        <f>IF(E947="","",IF(E947&lt;=0,"het einde ligt voor het begin",IF(E947&lt;60,"venster korter dan een uur","")))</f>
        <v/>
      </c>
      <c r="D947">
        <f>IF(A947="","",899)</f>
        <v/>
      </c>
      <c r="E947">
        <f>IF(OR(Stops!A899="",Stops!E899="",Stops!F899=""),"",ROUND((Stops!F899-Stops!E899)*1440,0))</f>
        <v/>
      </c>
    </row>
    <row r="948">
      <c r="A948">
        <f>IF(Stops!A900="","",Stops!A900)</f>
        <v/>
      </c>
      <c r="B948">
        <f>IF(E948="","",IF(E948&lt;=0,"het einde ligt voor het begin",IF(E948&lt;60,"venster korter dan een uur","")))</f>
        <v/>
      </c>
      <c r="D948">
        <f>IF(A948="","",900)</f>
        <v/>
      </c>
      <c r="E948">
        <f>IF(OR(Stops!A900="",Stops!E900="",Stops!F900=""),"",ROUND((Stops!F900-Stops!E900)*1440,0))</f>
        <v/>
      </c>
    </row>
    <row r="949">
      <c r="A949">
        <f>IF(Stops!A901="","",Stops!A901)</f>
        <v/>
      </c>
      <c r="B949">
        <f>IF(E949="","",IF(E949&lt;=0,"het einde ligt voor het begin",IF(E949&lt;60,"venster korter dan een uur","")))</f>
        <v/>
      </c>
      <c r="D949">
        <f>IF(A949="","",901)</f>
        <v/>
      </c>
      <c r="E949">
        <f>IF(OR(Stops!A901="",Stops!E901="",Stops!F901=""),"",ROUND((Stops!F901-Stops!E901)*1440,0))</f>
        <v/>
      </c>
    </row>
    <row r="950">
      <c r="A950">
        <f>IF(Stops!A902="","",Stops!A902)</f>
        <v/>
      </c>
      <c r="B950">
        <f>IF(E950="","",IF(E950&lt;=0,"het einde ligt voor het begin",IF(E950&lt;60,"venster korter dan een uur","")))</f>
        <v/>
      </c>
      <c r="D950">
        <f>IF(A950="","",902)</f>
        <v/>
      </c>
      <c r="E950">
        <f>IF(OR(Stops!A902="",Stops!E902="",Stops!F902=""),"",ROUND((Stops!F902-Stops!E902)*1440,0))</f>
        <v/>
      </c>
    </row>
    <row r="951">
      <c r="A951">
        <f>IF(Stops!A903="","",Stops!A903)</f>
        <v/>
      </c>
      <c r="B951">
        <f>IF(E951="","",IF(E951&lt;=0,"het einde ligt voor het begin",IF(E951&lt;60,"venster korter dan een uur","")))</f>
        <v/>
      </c>
      <c r="D951">
        <f>IF(A951="","",903)</f>
        <v/>
      </c>
      <c r="E951">
        <f>IF(OR(Stops!A903="",Stops!E903="",Stops!F903=""),"",ROUND((Stops!F903-Stops!E903)*1440,0))</f>
        <v/>
      </c>
    </row>
    <row r="952">
      <c r="A952">
        <f>IF(Stops!A904="","",Stops!A904)</f>
        <v/>
      </c>
      <c r="B952">
        <f>IF(E952="","",IF(E952&lt;=0,"het einde ligt voor het begin",IF(E952&lt;60,"venster korter dan een uur","")))</f>
        <v/>
      </c>
      <c r="D952">
        <f>IF(A952="","",904)</f>
        <v/>
      </c>
      <c r="E952">
        <f>IF(OR(Stops!A904="",Stops!E904="",Stops!F904=""),"",ROUND((Stops!F904-Stops!E904)*1440,0))</f>
        <v/>
      </c>
    </row>
    <row r="953">
      <c r="A953">
        <f>IF(Stops!A905="","",Stops!A905)</f>
        <v/>
      </c>
      <c r="B953">
        <f>IF(E953="","",IF(E953&lt;=0,"het einde ligt voor het begin",IF(E953&lt;60,"venster korter dan een uur","")))</f>
        <v/>
      </c>
      <c r="D953">
        <f>IF(A953="","",905)</f>
        <v/>
      </c>
      <c r="E953">
        <f>IF(OR(Stops!A905="",Stops!E905="",Stops!F905=""),"",ROUND((Stops!F905-Stops!E905)*1440,0))</f>
        <v/>
      </c>
    </row>
    <row r="954">
      <c r="A954">
        <f>IF(Stops!A906="","",Stops!A906)</f>
        <v/>
      </c>
      <c r="B954">
        <f>IF(E954="","",IF(E954&lt;=0,"het einde ligt voor het begin",IF(E954&lt;60,"venster korter dan een uur","")))</f>
        <v/>
      </c>
      <c r="D954">
        <f>IF(A954="","",906)</f>
        <v/>
      </c>
      <c r="E954">
        <f>IF(OR(Stops!A906="",Stops!E906="",Stops!F906=""),"",ROUND((Stops!F906-Stops!E906)*1440,0))</f>
        <v/>
      </c>
    </row>
    <row r="955">
      <c r="A955">
        <f>IF(Stops!A907="","",Stops!A907)</f>
        <v/>
      </c>
      <c r="B955">
        <f>IF(E955="","",IF(E955&lt;=0,"het einde ligt voor het begin",IF(E955&lt;60,"venster korter dan een uur","")))</f>
        <v/>
      </c>
      <c r="D955">
        <f>IF(A955="","",907)</f>
        <v/>
      </c>
      <c r="E955">
        <f>IF(OR(Stops!A907="",Stops!E907="",Stops!F907=""),"",ROUND((Stops!F907-Stops!E907)*1440,0))</f>
        <v/>
      </c>
    </row>
    <row r="956">
      <c r="A956">
        <f>IF(Stops!A908="","",Stops!A908)</f>
        <v/>
      </c>
      <c r="B956">
        <f>IF(E956="","",IF(E956&lt;=0,"het einde ligt voor het begin",IF(E956&lt;60,"venster korter dan een uur","")))</f>
        <v/>
      </c>
      <c r="D956">
        <f>IF(A956="","",908)</f>
        <v/>
      </c>
      <c r="E956">
        <f>IF(OR(Stops!A908="",Stops!E908="",Stops!F908=""),"",ROUND((Stops!F908-Stops!E908)*1440,0))</f>
        <v/>
      </c>
    </row>
    <row r="957">
      <c r="A957">
        <f>IF(Stops!A909="","",Stops!A909)</f>
        <v/>
      </c>
      <c r="B957">
        <f>IF(E957="","",IF(E957&lt;=0,"het einde ligt voor het begin",IF(E957&lt;60,"venster korter dan een uur","")))</f>
        <v/>
      </c>
      <c r="D957">
        <f>IF(A957="","",909)</f>
        <v/>
      </c>
      <c r="E957">
        <f>IF(OR(Stops!A909="",Stops!E909="",Stops!F909=""),"",ROUND((Stops!F909-Stops!E909)*1440,0))</f>
        <v/>
      </c>
    </row>
    <row r="958">
      <c r="A958">
        <f>IF(Stops!A910="","",Stops!A910)</f>
        <v/>
      </c>
      <c r="B958">
        <f>IF(E958="","",IF(E958&lt;=0,"het einde ligt voor het begin",IF(E958&lt;60,"venster korter dan een uur","")))</f>
        <v/>
      </c>
      <c r="D958">
        <f>IF(A958="","",910)</f>
        <v/>
      </c>
      <c r="E958">
        <f>IF(OR(Stops!A910="",Stops!E910="",Stops!F910=""),"",ROUND((Stops!F910-Stops!E910)*1440,0))</f>
        <v/>
      </c>
    </row>
    <row r="959">
      <c r="A959">
        <f>IF(Stops!A911="","",Stops!A911)</f>
        <v/>
      </c>
      <c r="B959">
        <f>IF(E959="","",IF(E959&lt;=0,"het einde ligt voor het begin",IF(E959&lt;60,"venster korter dan een uur","")))</f>
        <v/>
      </c>
      <c r="D959">
        <f>IF(A959="","",911)</f>
        <v/>
      </c>
      <c r="E959">
        <f>IF(OR(Stops!A911="",Stops!E911="",Stops!F911=""),"",ROUND((Stops!F911-Stops!E911)*1440,0))</f>
        <v/>
      </c>
    </row>
    <row r="960">
      <c r="A960">
        <f>IF(Stops!A912="","",Stops!A912)</f>
        <v/>
      </c>
      <c r="B960">
        <f>IF(E960="","",IF(E960&lt;=0,"het einde ligt voor het begin",IF(E960&lt;60,"venster korter dan een uur","")))</f>
        <v/>
      </c>
      <c r="D960">
        <f>IF(A960="","",912)</f>
        <v/>
      </c>
      <c r="E960">
        <f>IF(OR(Stops!A912="",Stops!E912="",Stops!F912=""),"",ROUND((Stops!F912-Stops!E912)*1440,0))</f>
        <v/>
      </c>
    </row>
    <row r="961">
      <c r="A961">
        <f>IF(Stops!A913="","",Stops!A913)</f>
        <v/>
      </c>
      <c r="B961">
        <f>IF(E961="","",IF(E961&lt;=0,"het einde ligt voor het begin",IF(E961&lt;60,"venster korter dan een uur","")))</f>
        <v/>
      </c>
      <c r="D961">
        <f>IF(A961="","",913)</f>
        <v/>
      </c>
      <c r="E961">
        <f>IF(OR(Stops!A913="",Stops!E913="",Stops!F913=""),"",ROUND((Stops!F913-Stops!E913)*1440,0))</f>
        <v/>
      </c>
    </row>
    <row r="962">
      <c r="A962">
        <f>IF(Stops!A914="","",Stops!A914)</f>
        <v/>
      </c>
      <c r="B962">
        <f>IF(E962="","",IF(E962&lt;=0,"het einde ligt voor het begin",IF(E962&lt;60,"venster korter dan een uur","")))</f>
        <v/>
      </c>
      <c r="D962">
        <f>IF(A962="","",914)</f>
        <v/>
      </c>
      <c r="E962">
        <f>IF(OR(Stops!A914="",Stops!E914="",Stops!F914=""),"",ROUND((Stops!F914-Stops!E914)*1440,0))</f>
        <v/>
      </c>
    </row>
    <row r="963">
      <c r="A963">
        <f>IF(Stops!A915="","",Stops!A915)</f>
        <v/>
      </c>
      <c r="B963">
        <f>IF(E963="","",IF(E963&lt;=0,"het einde ligt voor het begin",IF(E963&lt;60,"venster korter dan een uur","")))</f>
        <v/>
      </c>
      <c r="D963">
        <f>IF(A963="","",915)</f>
        <v/>
      </c>
      <c r="E963">
        <f>IF(OR(Stops!A915="",Stops!E915="",Stops!F915=""),"",ROUND((Stops!F915-Stops!E915)*1440,0))</f>
        <v/>
      </c>
    </row>
    <row r="964">
      <c r="A964">
        <f>IF(Stops!A916="","",Stops!A916)</f>
        <v/>
      </c>
      <c r="B964">
        <f>IF(E964="","",IF(E964&lt;=0,"het einde ligt voor het begin",IF(E964&lt;60,"venster korter dan een uur","")))</f>
        <v/>
      </c>
      <c r="D964">
        <f>IF(A964="","",916)</f>
        <v/>
      </c>
      <c r="E964">
        <f>IF(OR(Stops!A916="",Stops!E916="",Stops!F916=""),"",ROUND((Stops!F916-Stops!E916)*1440,0))</f>
        <v/>
      </c>
    </row>
    <row r="965">
      <c r="A965">
        <f>IF(Stops!A917="","",Stops!A917)</f>
        <v/>
      </c>
      <c r="B965">
        <f>IF(E965="","",IF(E965&lt;=0,"het einde ligt voor het begin",IF(E965&lt;60,"venster korter dan een uur","")))</f>
        <v/>
      </c>
      <c r="D965">
        <f>IF(A965="","",917)</f>
        <v/>
      </c>
      <c r="E965">
        <f>IF(OR(Stops!A917="",Stops!E917="",Stops!F917=""),"",ROUND((Stops!F917-Stops!E917)*1440,0))</f>
        <v/>
      </c>
    </row>
    <row r="966">
      <c r="A966">
        <f>IF(Stops!A918="","",Stops!A918)</f>
        <v/>
      </c>
      <c r="B966">
        <f>IF(E966="","",IF(E966&lt;=0,"het einde ligt voor het begin",IF(E966&lt;60,"venster korter dan een uur","")))</f>
        <v/>
      </c>
      <c r="D966">
        <f>IF(A966="","",918)</f>
        <v/>
      </c>
      <c r="E966">
        <f>IF(OR(Stops!A918="",Stops!E918="",Stops!F918=""),"",ROUND((Stops!F918-Stops!E918)*1440,0))</f>
        <v/>
      </c>
    </row>
    <row r="967">
      <c r="A967">
        <f>IF(Stops!A919="","",Stops!A919)</f>
        <v/>
      </c>
      <c r="B967">
        <f>IF(E967="","",IF(E967&lt;=0,"het einde ligt voor het begin",IF(E967&lt;60,"venster korter dan een uur","")))</f>
        <v/>
      </c>
      <c r="D967">
        <f>IF(A967="","",919)</f>
        <v/>
      </c>
      <c r="E967">
        <f>IF(OR(Stops!A919="",Stops!E919="",Stops!F919=""),"",ROUND((Stops!F919-Stops!E919)*1440,0))</f>
        <v/>
      </c>
    </row>
    <row r="968">
      <c r="A968">
        <f>IF(Stops!A920="","",Stops!A920)</f>
        <v/>
      </c>
      <c r="B968">
        <f>IF(E968="","",IF(E968&lt;=0,"het einde ligt voor het begin",IF(E968&lt;60,"venster korter dan een uur","")))</f>
        <v/>
      </c>
      <c r="D968">
        <f>IF(A968="","",920)</f>
        <v/>
      </c>
      <c r="E968">
        <f>IF(OR(Stops!A920="",Stops!E920="",Stops!F920=""),"",ROUND((Stops!F920-Stops!E920)*1440,0))</f>
        <v/>
      </c>
    </row>
    <row r="969">
      <c r="A969">
        <f>IF(Stops!A921="","",Stops!A921)</f>
        <v/>
      </c>
      <c r="B969">
        <f>IF(E969="","",IF(E969&lt;=0,"het einde ligt voor het begin",IF(E969&lt;60,"venster korter dan een uur","")))</f>
        <v/>
      </c>
      <c r="D969">
        <f>IF(A969="","",921)</f>
        <v/>
      </c>
      <c r="E969">
        <f>IF(OR(Stops!A921="",Stops!E921="",Stops!F921=""),"",ROUND((Stops!F921-Stops!E921)*1440,0))</f>
        <v/>
      </c>
    </row>
    <row r="970">
      <c r="A970">
        <f>IF(Stops!A922="","",Stops!A922)</f>
        <v/>
      </c>
      <c r="B970">
        <f>IF(E970="","",IF(E970&lt;=0,"het einde ligt voor het begin",IF(E970&lt;60,"venster korter dan een uur","")))</f>
        <v/>
      </c>
      <c r="D970">
        <f>IF(A970="","",922)</f>
        <v/>
      </c>
      <c r="E970">
        <f>IF(OR(Stops!A922="",Stops!E922="",Stops!F922=""),"",ROUND((Stops!F922-Stops!E922)*1440,0))</f>
        <v/>
      </c>
    </row>
    <row r="971">
      <c r="A971">
        <f>IF(Stops!A923="","",Stops!A923)</f>
        <v/>
      </c>
      <c r="B971">
        <f>IF(E971="","",IF(E971&lt;=0,"het einde ligt voor het begin",IF(E971&lt;60,"venster korter dan een uur","")))</f>
        <v/>
      </c>
      <c r="D971">
        <f>IF(A971="","",923)</f>
        <v/>
      </c>
      <c r="E971">
        <f>IF(OR(Stops!A923="",Stops!E923="",Stops!F923=""),"",ROUND((Stops!F923-Stops!E923)*1440,0))</f>
        <v/>
      </c>
    </row>
    <row r="972">
      <c r="A972">
        <f>IF(Stops!A924="","",Stops!A924)</f>
        <v/>
      </c>
      <c r="B972">
        <f>IF(E972="","",IF(E972&lt;=0,"het einde ligt voor het begin",IF(E972&lt;60,"venster korter dan een uur","")))</f>
        <v/>
      </c>
      <c r="D972">
        <f>IF(A972="","",924)</f>
        <v/>
      </c>
      <c r="E972">
        <f>IF(OR(Stops!A924="",Stops!E924="",Stops!F924=""),"",ROUND((Stops!F924-Stops!E924)*1440,0))</f>
        <v/>
      </c>
    </row>
    <row r="973">
      <c r="A973">
        <f>IF(Stops!A925="","",Stops!A925)</f>
        <v/>
      </c>
      <c r="B973">
        <f>IF(E973="","",IF(E973&lt;=0,"het einde ligt voor het begin",IF(E973&lt;60,"venster korter dan een uur","")))</f>
        <v/>
      </c>
      <c r="D973">
        <f>IF(A973="","",925)</f>
        <v/>
      </c>
      <c r="E973">
        <f>IF(OR(Stops!A925="",Stops!E925="",Stops!F925=""),"",ROUND((Stops!F925-Stops!E925)*1440,0))</f>
        <v/>
      </c>
    </row>
    <row r="974">
      <c r="A974">
        <f>IF(Stops!A926="","",Stops!A926)</f>
        <v/>
      </c>
      <c r="B974">
        <f>IF(E974="","",IF(E974&lt;=0,"het einde ligt voor het begin",IF(E974&lt;60,"venster korter dan een uur","")))</f>
        <v/>
      </c>
      <c r="D974">
        <f>IF(A974="","",926)</f>
        <v/>
      </c>
      <c r="E974">
        <f>IF(OR(Stops!A926="",Stops!E926="",Stops!F926=""),"",ROUND((Stops!F926-Stops!E926)*1440,0))</f>
        <v/>
      </c>
    </row>
    <row r="975">
      <c r="A975">
        <f>IF(Stops!A927="","",Stops!A927)</f>
        <v/>
      </c>
      <c r="B975">
        <f>IF(E975="","",IF(E975&lt;=0,"het einde ligt voor het begin",IF(E975&lt;60,"venster korter dan een uur","")))</f>
        <v/>
      </c>
      <c r="D975">
        <f>IF(A975="","",927)</f>
        <v/>
      </c>
      <c r="E975">
        <f>IF(OR(Stops!A927="",Stops!E927="",Stops!F927=""),"",ROUND((Stops!F927-Stops!E927)*1440,0))</f>
        <v/>
      </c>
    </row>
    <row r="976">
      <c r="A976">
        <f>IF(Stops!A928="","",Stops!A928)</f>
        <v/>
      </c>
      <c r="B976">
        <f>IF(E976="","",IF(E976&lt;=0,"het einde ligt voor het begin",IF(E976&lt;60,"venster korter dan een uur","")))</f>
        <v/>
      </c>
      <c r="D976">
        <f>IF(A976="","",928)</f>
        <v/>
      </c>
      <c r="E976">
        <f>IF(OR(Stops!A928="",Stops!E928="",Stops!F928=""),"",ROUND((Stops!F928-Stops!E928)*1440,0))</f>
        <v/>
      </c>
    </row>
    <row r="977">
      <c r="A977">
        <f>IF(Stops!A929="","",Stops!A929)</f>
        <v/>
      </c>
      <c r="B977">
        <f>IF(E977="","",IF(E977&lt;=0,"het einde ligt voor het begin",IF(E977&lt;60,"venster korter dan een uur","")))</f>
        <v/>
      </c>
      <c r="D977">
        <f>IF(A977="","",929)</f>
        <v/>
      </c>
      <c r="E977">
        <f>IF(OR(Stops!A929="",Stops!E929="",Stops!F929=""),"",ROUND((Stops!F929-Stops!E929)*1440,0))</f>
        <v/>
      </c>
    </row>
    <row r="978">
      <c r="A978">
        <f>IF(Stops!A930="","",Stops!A930)</f>
        <v/>
      </c>
      <c r="B978">
        <f>IF(E978="","",IF(E978&lt;=0,"het einde ligt voor het begin",IF(E978&lt;60,"venster korter dan een uur","")))</f>
        <v/>
      </c>
      <c r="D978">
        <f>IF(A978="","",930)</f>
        <v/>
      </c>
      <c r="E978">
        <f>IF(OR(Stops!A930="",Stops!E930="",Stops!F930=""),"",ROUND((Stops!F930-Stops!E930)*1440,0))</f>
        <v/>
      </c>
    </row>
    <row r="979">
      <c r="A979">
        <f>IF(Stops!A931="","",Stops!A931)</f>
        <v/>
      </c>
      <c r="B979">
        <f>IF(E979="","",IF(E979&lt;=0,"het einde ligt voor het begin",IF(E979&lt;60,"venster korter dan een uur","")))</f>
        <v/>
      </c>
      <c r="D979">
        <f>IF(A979="","",931)</f>
        <v/>
      </c>
      <c r="E979">
        <f>IF(OR(Stops!A931="",Stops!E931="",Stops!F931=""),"",ROUND((Stops!F931-Stops!E931)*1440,0))</f>
        <v/>
      </c>
    </row>
    <row r="980">
      <c r="A980">
        <f>IF(Stops!A932="","",Stops!A932)</f>
        <v/>
      </c>
      <c r="B980">
        <f>IF(E980="","",IF(E980&lt;=0,"het einde ligt voor het begin",IF(E980&lt;60,"venster korter dan een uur","")))</f>
        <v/>
      </c>
      <c r="D980">
        <f>IF(A980="","",932)</f>
        <v/>
      </c>
      <c r="E980">
        <f>IF(OR(Stops!A932="",Stops!E932="",Stops!F932=""),"",ROUND((Stops!F932-Stops!E932)*1440,0))</f>
        <v/>
      </c>
    </row>
    <row r="981">
      <c r="A981">
        <f>IF(Stops!A933="","",Stops!A933)</f>
        <v/>
      </c>
      <c r="B981">
        <f>IF(E981="","",IF(E981&lt;=0,"het einde ligt voor het begin",IF(E981&lt;60,"venster korter dan een uur","")))</f>
        <v/>
      </c>
      <c r="D981">
        <f>IF(A981="","",933)</f>
        <v/>
      </c>
      <c r="E981">
        <f>IF(OR(Stops!A933="",Stops!E933="",Stops!F933=""),"",ROUND((Stops!F933-Stops!E933)*1440,0))</f>
        <v/>
      </c>
    </row>
    <row r="982">
      <c r="A982">
        <f>IF(Stops!A934="","",Stops!A934)</f>
        <v/>
      </c>
      <c r="B982">
        <f>IF(E982="","",IF(E982&lt;=0,"het einde ligt voor het begin",IF(E982&lt;60,"venster korter dan een uur","")))</f>
        <v/>
      </c>
      <c r="D982">
        <f>IF(A982="","",934)</f>
        <v/>
      </c>
      <c r="E982">
        <f>IF(OR(Stops!A934="",Stops!E934="",Stops!F934=""),"",ROUND((Stops!F934-Stops!E934)*1440,0))</f>
        <v/>
      </c>
    </row>
    <row r="983">
      <c r="A983">
        <f>IF(Stops!A935="","",Stops!A935)</f>
        <v/>
      </c>
      <c r="B983">
        <f>IF(E983="","",IF(E983&lt;=0,"het einde ligt voor het begin",IF(E983&lt;60,"venster korter dan een uur","")))</f>
        <v/>
      </c>
      <c r="D983">
        <f>IF(A983="","",935)</f>
        <v/>
      </c>
      <c r="E983">
        <f>IF(OR(Stops!A935="",Stops!E935="",Stops!F935=""),"",ROUND((Stops!F935-Stops!E935)*1440,0))</f>
        <v/>
      </c>
    </row>
    <row r="984">
      <c r="A984">
        <f>IF(Stops!A936="","",Stops!A936)</f>
        <v/>
      </c>
      <c r="B984">
        <f>IF(E984="","",IF(E984&lt;=0,"het einde ligt voor het begin",IF(E984&lt;60,"venster korter dan een uur","")))</f>
        <v/>
      </c>
      <c r="D984">
        <f>IF(A984="","",936)</f>
        <v/>
      </c>
      <c r="E984">
        <f>IF(OR(Stops!A936="",Stops!E936="",Stops!F936=""),"",ROUND((Stops!F936-Stops!E936)*1440,0))</f>
        <v/>
      </c>
    </row>
    <row r="985">
      <c r="A985">
        <f>IF(Stops!A937="","",Stops!A937)</f>
        <v/>
      </c>
      <c r="B985">
        <f>IF(E985="","",IF(E985&lt;=0,"het einde ligt voor het begin",IF(E985&lt;60,"venster korter dan een uur","")))</f>
        <v/>
      </c>
      <c r="D985">
        <f>IF(A985="","",937)</f>
        <v/>
      </c>
      <c r="E985">
        <f>IF(OR(Stops!A937="",Stops!E937="",Stops!F937=""),"",ROUND((Stops!F937-Stops!E937)*1440,0))</f>
        <v/>
      </c>
    </row>
    <row r="986">
      <c r="A986">
        <f>IF(Stops!A938="","",Stops!A938)</f>
        <v/>
      </c>
      <c r="B986">
        <f>IF(E986="","",IF(E986&lt;=0,"het einde ligt voor het begin",IF(E986&lt;60,"venster korter dan een uur","")))</f>
        <v/>
      </c>
      <c r="D986">
        <f>IF(A986="","",938)</f>
        <v/>
      </c>
      <c r="E986">
        <f>IF(OR(Stops!A938="",Stops!E938="",Stops!F938=""),"",ROUND((Stops!F938-Stops!E938)*1440,0))</f>
        <v/>
      </c>
    </row>
    <row r="987">
      <c r="A987">
        <f>IF(Stops!A939="","",Stops!A939)</f>
        <v/>
      </c>
      <c r="B987">
        <f>IF(E987="","",IF(E987&lt;=0,"het einde ligt voor het begin",IF(E987&lt;60,"venster korter dan een uur","")))</f>
        <v/>
      </c>
      <c r="D987">
        <f>IF(A987="","",939)</f>
        <v/>
      </c>
      <c r="E987">
        <f>IF(OR(Stops!A939="",Stops!E939="",Stops!F939=""),"",ROUND((Stops!F939-Stops!E939)*1440,0))</f>
        <v/>
      </c>
    </row>
    <row r="988">
      <c r="A988">
        <f>IF(Stops!A940="","",Stops!A940)</f>
        <v/>
      </c>
      <c r="B988">
        <f>IF(E988="","",IF(E988&lt;=0,"het einde ligt voor het begin",IF(E988&lt;60,"venster korter dan een uur","")))</f>
        <v/>
      </c>
      <c r="D988">
        <f>IF(A988="","",940)</f>
        <v/>
      </c>
      <c r="E988">
        <f>IF(OR(Stops!A940="",Stops!E940="",Stops!F940=""),"",ROUND((Stops!F940-Stops!E940)*1440,0))</f>
        <v/>
      </c>
    </row>
    <row r="989">
      <c r="A989">
        <f>IF(Stops!A941="","",Stops!A941)</f>
        <v/>
      </c>
      <c r="B989">
        <f>IF(E989="","",IF(E989&lt;=0,"het einde ligt voor het begin",IF(E989&lt;60,"venster korter dan een uur","")))</f>
        <v/>
      </c>
      <c r="D989">
        <f>IF(A989="","",941)</f>
        <v/>
      </c>
      <c r="E989">
        <f>IF(OR(Stops!A941="",Stops!E941="",Stops!F941=""),"",ROUND((Stops!F941-Stops!E941)*1440,0))</f>
        <v/>
      </c>
    </row>
    <row r="990">
      <c r="A990">
        <f>IF(Stops!A942="","",Stops!A942)</f>
        <v/>
      </c>
      <c r="B990">
        <f>IF(E990="","",IF(E990&lt;=0,"het einde ligt voor het begin",IF(E990&lt;60,"venster korter dan een uur","")))</f>
        <v/>
      </c>
      <c r="D990">
        <f>IF(A990="","",942)</f>
        <v/>
      </c>
      <c r="E990">
        <f>IF(OR(Stops!A942="",Stops!E942="",Stops!F942=""),"",ROUND((Stops!F942-Stops!E942)*1440,0))</f>
        <v/>
      </c>
    </row>
    <row r="991">
      <c r="A991">
        <f>IF(Stops!A943="","",Stops!A943)</f>
        <v/>
      </c>
      <c r="B991">
        <f>IF(E991="","",IF(E991&lt;=0,"het einde ligt voor het begin",IF(E991&lt;60,"venster korter dan een uur","")))</f>
        <v/>
      </c>
      <c r="D991">
        <f>IF(A991="","",943)</f>
        <v/>
      </c>
      <c r="E991">
        <f>IF(OR(Stops!A943="",Stops!E943="",Stops!F943=""),"",ROUND((Stops!F943-Stops!E943)*1440,0))</f>
        <v/>
      </c>
    </row>
    <row r="992">
      <c r="A992">
        <f>IF(Stops!A944="","",Stops!A944)</f>
        <v/>
      </c>
      <c r="B992">
        <f>IF(E992="","",IF(E992&lt;=0,"het einde ligt voor het begin",IF(E992&lt;60,"venster korter dan een uur","")))</f>
        <v/>
      </c>
      <c r="D992">
        <f>IF(A992="","",944)</f>
        <v/>
      </c>
      <c r="E992">
        <f>IF(OR(Stops!A944="",Stops!E944="",Stops!F944=""),"",ROUND((Stops!F944-Stops!E944)*1440,0))</f>
        <v/>
      </c>
    </row>
    <row r="993">
      <c r="A993">
        <f>IF(Stops!A945="","",Stops!A945)</f>
        <v/>
      </c>
      <c r="B993">
        <f>IF(E993="","",IF(E993&lt;=0,"het einde ligt voor het begin",IF(E993&lt;60,"venster korter dan een uur","")))</f>
        <v/>
      </c>
      <c r="D993">
        <f>IF(A993="","",945)</f>
        <v/>
      </c>
      <c r="E993">
        <f>IF(OR(Stops!A945="",Stops!E945="",Stops!F945=""),"",ROUND((Stops!F945-Stops!E945)*1440,0))</f>
        <v/>
      </c>
    </row>
    <row r="994">
      <c r="A994">
        <f>IF(Stops!A946="","",Stops!A946)</f>
        <v/>
      </c>
      <c r="B994">
        <f>IF(E994="","",IF(E994&lt;=0,"het einde ligt voor het begin",IF(E994&lt;60,"venster korter dan een uur","")))</f>
        <v/>
      </c>
      <c r="D994">
        <f>IF(A994="","",946)</f>
        <v/>
      </c>
      <c r="E994">
        <f>IF(OR(Stops!A946="",Stops!E946="",Stops!F946=""),"",ROUND((Stops!F946-Stops!E946)*1440,0))</f>
        <v/>
      </c>
    </row>
    <row r="995">
      <c r="A995">
        <f>IF(Stops!A947="","",Stops!A947)</f>
        <v/>
      </c>
      <c r="B995">
        <f>IF(E995="","",IF(E995&lt;=0,"het einde ligt voor het begin",IF(E995&lt;60,"venster korter dan een uur","")))</f>
        <v/>
      </c>
      <c r="D995">
        <f>IF(A995="","",947)</f>
        <v/>
      </c>
      <c r="E995">
        <f>IF(OR(Stops!A947="",Stops!E947="",Stops!F947=""),"",ROUND((Stops!F947-Stops!E947)*1440,0))</f>
        <v/>
      </c>
    </row>
    <row r="996">
      <c r="A996">
        <f>IF(Stops!A948="","",Stops!A948)</f>
        <v/>
      </c>
      <c r="B996">
        <f>IF(E996="","",IF(E996&lt;=0,"het einde ligt voor het begin",IF(E996&lt;60,"venster korter dan een uur","")))</f>
        <v/>
      </c>
      <c r="D996">
        <f>IF(A996="","",948)</f>
        <v/>
      </c>
      <c r="E996">
        <f>IF(OR(Stops!A948="",Stops!E948="",Stops!F948=""),"",ROUND((Stops!F948-Stops!E948)*1440,0))</f>
        <v/>
      </c>
    </row>
    <row r="997">
      <c r="A997">
        <f>IF(Stops!A949="","",Stops!A949)</f>
        <v/>
      </c>
      <c r="B997">
        <f>IF(E997="","",IF(E997&lt;=0,"het einde ligt voor het begin",IF(E997&lt;60,"venster korter dan een uur","")))</f>
        <v/>
      </c>
      <c r="D997">
        <f>IF(A997="","",949)</f>
        <v/>
      </c>
      <c r="E997">
        <f>IF(OR(Stops!A949="",Stops!E949="",Stops!F949=""),"",ROUND((Stops!F949-Stops!E949)*1440,0))</f>
        <v/>
      </c>
    </row>
    <row r="998">
      <c r="A998">
        <f>IF(Stops!A950="","",Stops!A950)</f>
        <v/>
      </c>
      <c r="B998">
        <f>IF(E998="","",IF(E998&lt;=0,"het einde ligt voor het begin",IF(E998&lt;60,"venster korter dan een uur","")))</f>
        <v/>
      </c>
      <c r="D998">
        <f>IF(A998="","",950)</f>
        <v/>
      </c>
      <c r="E998">
        <f>IF(OR(Stops!A950="",Stops!E950="",Stops!F950=""),"",ROUND((Stops!F950-Stops!E950)*1440,0))</f>
        <v/>
      </c>
    </row>
    <row r="999">
      <c r="A999">
        <f>IF(Stops!A951="","",Stops!A951)</f>
        <v/>
      </c>
      <c r="B999">
        <f>IF(E999="","",IF(E999&lt;=0,"het einde ligt voor het begin",IF(E999&lt;60,"venster korter dan een uur","")))</f>
        <v/>
      </c>
      <c r="D999">
        <f>IF(A999="","",951)</f>
        <v/>
      </c>
      <c r="E999">
        <f>IF(OR(Stops!A951="",Stops!E951="",Stops!F951=""),"",ROUND((Stops!F951-Stops!E951)*1440,0))</f>
        <v/>
      </c>
    </row>
    <row r="1000">
      <c r="A1000">
        <f>IF(Stops!A952="","",Stops!A952)</f>
        <v/>
      </c>
      <c r="B1000">
        <f>IF(E1000="","",IF(E1000&lt;=0,"het einde ligt voor het begin",IF(E1000&lt;60,"venster korter dan een uur","")))</f>
        <v/>
      </c>
      <c r="D1000">
        <f>IF(A1000="","",952)</f>
        <v/>
      </c>
      <c r="E1000">
        <f>IF(OR(Stops!A952="",Stops!E952="",Stops!F952=""),"",ROUND((Stops!F952-Stops!E952)*1440,0))</f>
        <v/>
      </c>
    </row>
    <row r="1001">
      <c r="A1001">
        <f>IF(Stops!A953="","",Stops!A953)</f>
        <v/>
      </c>
      <c r="B1001">
        <f>IF(E1001="","",IF(E1001&lt;=0,"het einde ligt voor het begin",IF(E1001&lt;60,"venster korter dan een uur","")))</f>
        <v/>
      </c>
      <c r="D1001">
        <f>IF(A1001="","",953)</f>
        <v/>
      </c>
      <c r="E1001">
        <f>IF(OR(Stops!A953="",Stops!E953="",Stops!F953=""),"",ROUND((Stops!F953-Stops!E953)*1440,0))</f>
        <v/>
      </c>
    </row>
    <row r="1002">
      <c r="A1002">
        <f>IF(Stops!A954="","",Stops!A954)</f>
        <v/>
      </c>
      <c r="B1002">
        <f>IF(E1002="","",IF(E1002&lt;=0,"het einde ligt voor het begin",IF(E1002&lt;60,"venster korter dan een uur","")))</f>
        <v/>
      </c>
      <c r="D1002">
        <f>IF(A1002="","",954)</f>
        <v/>
      </c>
      <c r="E1002">
        <f>IF(OR(Stops!A954="",Stops!E954="",Stops!F954=""),"",ROUND((Stops!F954-Stops!E954)*1440,0))</f>
        <v/>
      </c>
    </row>
    <row r="1003">
      <c r="A1003">
        <f>IF(Stops!A955="","",Stops!A955)</f>
        <v/>
      </c>
      <c r="B1003">
        <f>IF(E1003="","",IF(E1003&lt;=0,"het einde ligt voor het begin",IF(E1003&lt;60,"venster korter dan een uur","")))</f>
        <v/>
      </c>
      <c r="D1003">
        <f>IF(A1003="","",955)</f>
        <v/>
      </c>
      <c r="E1003">
        <f>IF(OR(Stops!A955="",Stops!E955="",Stops!F955=""),"",ROUND((Stops!F955-Stops!E955)*1440,0))</f>
        <v/>
      </c>
    </row>
    <row r="1004">
      <c r="A1004">
        <f>IF(Stops!A956="","",Stops!A956)</f>
        <v/>
      </c>
      <c r="B1004">
        <f>IF(E1004="","",IF(E1004&lt;=0,"het einde ligt voor het begin",IF(E1004&lt;60,"venster korter dan een uur","")))</f>
        <v/>
      </c>
      <c r="D1004">
        <f>IF(A1004="","",956)</f>
        <v/>
      </c>
      <c r="E1004">
        <f>IF(OR(Stops!A956="",Stops!E956="",Stops!F956=""),"",ROUND((Stops!F956-Stops!E956)*1440,0))</f>
        <v/>
      </c>
    </row>
    <row r="1005">
      <c r="A1005">
        <f>IF(Stops!A957="","",Stops!A957)</f>
        <v/>
      </c>
      <c r="B1005">
        <f>IF(E1005="","",IF(E1005&lt;=0,"het einde ligt voor het begin",IF(E1005&lt;60,"venster korter dan een uur","")))</f>
        <v/>
      </c>
      <c r="D1005">
        <f>IF(A1005="","",957)</f>
        <v/>
      </c>
      <c r="E1005">
        <f>IF(OR(Stops!A957="",Stops!E957="",Stops!F957=""),"",ROUND((Stops!F957-Stops!E957)*1440,0))</f>
        <v/>
      </c>
    </row>
    <row r="1006">
      <c r="A1006">
        <f>IF(Stops!A958="","",Stops!A958)</f>
        <v/>
      </c>
      <c r="B1006">
        <f>IF(E1006="","",IF(E1006&lt;=0,"het einde ligt voor het begin",IF(E1006&lt;60,"venster korter dan een uur","")))</f>
        <v/>
      </c>
      <c r="D1006">
        <f>IF(A1006="","",958)</f>
        <v/>
      </c>
      <c r="E1006">
        <f>IF(OR(Stops!A958="",Stops!E958="",Stops!F958=""),"",ROUND((Stops!F958-Stops!E958)*1440,0))</f>
        <v/>
      </c>
    </row>
    <row r="1007">
      <c r="A1007">
        <f>IF(Stops!A959="","",Stops!A959)</f>
        <v/>
      </c>
      <c r="B1007">
        <f>IF(E1007="","",IF(E1007&lt;=0,"het einde ligt voor het begin",IF(E1007&lt;60,"venster korter dan een uur","")))</f>
        <v/>
      </c>
      <c r="D1007">
        <f>IF(A1007="","",959)</f>
        <v/>
      </c>
      <c r="E1007">
        <f>IF(OR(Stops!A959="",Stops!E959="",Stops!F959=""),"",ROUND((Stops!F959-Stops!E959)*1440,0))</f>
        <v/>
      </c>
    </row>
    <row r="1008">
      <c r="A1008">
        <f>IF(Stops!A960="","",Stops!A960)</f>
        <v/>
      </c>
      <c r="B1008">
        <f>IF(E1008="","",IF(E1008&lt;=0,"het einde ligt voor het begin",IF(E1008&lt;60,"venster korter dan een uur","")))</f>
        <v/>
      </c>
      <c r="D1008">
        <f>IF(A1008="","",960)</f>
        <v/>
      </c>
      <c r="E1008">
        <f>IF(OR(Stops!A960="",Stops!E960="",Stops!F960=""),"",ROUND((Stops!F960-Stops!E960)*1440,0))</f>
        <v/>
      </c>
    </row>
    <row r="1009">
      <c r="A1009">
        <f>IF(Stops!A961="","",Stops!A961)</f>
        <v/>
      </c>
      <c r="B1009">
        <f>IF(E1009="","",IF(E1009&lt;=0,"het einde ligt voor het begin",IF(E1009&lt;60,"venster korter dan een uur","")))</f>
        <v/>
      </c>
      <c r="D1009">
        <f>IF(A1009="","",961)</f>
        <v/>
      </c>
      <c r="E1009">
        <f>IF(OR(Stops!A961="",Stops!E961="",Stops!F961=""),"",ROUND((Stops!F961-Stops!E961)*1440,0))</f>
        <v/>
      </c>
    </row>
    <row r="1010">
      <c r="A1010">
        <f>IF(Stops!A962="","",Stops!A962)</f>
        <v/>
      </c>
      <c r="B1010">
        <f>IF(E1010="","",IF(E1010&lt;=0,"het einde ligt voor het begin",IF(E1010&lt;60,"venster korter dan een uur","")))</f>
        <v/>
      </c>
      <c r="D1010">
        <f>IF(A1010="","",962)</f>
        <v/>
      </c>
      <c r="E1010">
        <f>IF(OR(Stops!A962="",Stops!E962="",Stops!F962=""),"",ROUND((Stops!F962-Stops!E962)*1440,0))</f>
        <v/>
      </c>
    </row>
    <row r="1011">
      <c r="A1011">
        <f>IF(Stops!A963="","",Stops!A963)</f>
        <v/>
      </c>
      <c r="B1011">
        <f>IF(E1011="","",IF(E1011&lt;=0,"het einde ligt voor het begin",IF(E1011&lt;60,"venster korter dan een uur","")))</f>
        <v/>
      </c>
      <c r="D1011">
        <f>IF(A1011="","",963)</f>
        <v/>
      </c>
      <c r="E1011">
        <f>IF(OR(Stops!A963="",Stops!E963="",Stops!F963=""),"",ROUND((Stops!F963-Stops!E963)*1440,0))</f>
        <v/>
      </c>
    </row>
    <row r="1012">
      <c r="A1012">
        <f>IF(Stops!A964="","",Stops!A964)</f>
        <v/>
      </c>
      <c r="B1012">
        <f>IF(E1012="","",IF(E1012&lt;=0,"het einde ligt voor het begin",IF(E1012&lt;60,"venster korter dan een uur","")))</f>
        <v/>
      </c>
      <c r="D1012">
        <f>IF(A1012="","",964)</f>
        <v/>
      </c>
      <c r="E1012">
        <f>IF(OR(Stops!A964="",Stops!E964="",Stops!F964=""),"",ROUND((Stops!F964-Stops!E964)*1440,0))</f>
        <v/>
      </c>
    </row>
    <row r="1013">
      <c r="A1013">
        <f>IF(Stops!A965="","",Stops!A965)</f>
        <v/>
      </c>
      <c r="B1013">
        <f>IF(E1013="","",IF(E1013&lt;=0,"het einde ligt voor het begin",IF(E1013&lt;60,"venster korter dan een uur","")))</f>
        <v/>
      </c>
      <c r="D1013">
        <f>IF(A1013="","",965)</f>
        <v/>
      </c>
      <c r="E1013">
        <f>IF(OR(Stops!A965="",Stops!E965="",Stops!F965=""),"",ROUND((Stops!F965-Stops!E965)*1440,0))</f>
        <v/>
      </c>
    </row>
    <row r="1014">
      <c r="A1014">
        <f>IF(Stops!A966="","",Stops!A966)</f>
        <v/>
      </c>
      <c r="B1014">
        <f>IF(E1014="","",IF(E1014&lt;=0,"het einde ligt voor het begin",IF(E1014&lt;60,"venster korter dan een uur","")))</f>
        <v/>
      </c>
      <c r="D1014">
        <f>IF(A1014="","",966)</f>
        <v/>
      </c>
      <c r="E1014">
        <f>IF(OR(Stops!A966="",Stops!E966="",Stops!F966=""),"",ROUND((Stops!F966-Stops!E966)*1440,0))</f>
        <v/>
      </c>
    </row>
    <row r="1015">
      <c r="A1015">
        <f>IF(Stops!A967="","",Stops!A967)</f>
        <v/>
      </c>
      <c r="B1015">
        <f>IF(E1015="","",IF(E1015&lt;=0,"het einde ligt voor het begin",IF(E1015&lt;60,"venster korter dan een uur","")))</f>
        <v/>
      </c>
      <c r="D1015">
        <f>IF(A1015="","",967)</f>
        <v/>
      </c>
      <c r="E1015">
        <f>IF(OR(Stops!A967="",Stops!E967="",Stops!F967=""),"",ROUND((Stops!F967-Stops!E967)*1440,0))</f>
        <v/>
      </c>
    </row>
    <row r="1016">
      <c r="A1016">
        <f>IF(Stops!A968="","",Stops!A968)</f>
        <v/>
      </c>
      <c r="B1016">
        <f>IF(E1016="","",IF(E1016&lt;=0,"het einde ligt voor het begin",IF(E1016&lt;60,"venster korter dan een uur","")))</f>
        <v/>
      </c>
      <c r="D1016">
        <f>IF(A1016="","",968)</f>
        <v/>
      </c>
      <c r="E1016">
        <f>IF(OR(Stops!A968="",Stops!E968="",Stops!F968=""),"",ROUND((Stops!F968-Stops!E968)*1440,0))</f>
        <v/>
      </c>
    </row>
    <row r="1017">
      <c r="A1017">
        <f>IF(Stops!A969="","",Stops!A969)</f>
        <v/>
      </c>
      <c r="B1017">
        <f>IF(E1017="","",IF(E1017&lt;=0,"het einde ligt voor het begin",IF(E1017&lt;60,"venster korter dan een uur","")))</f>
        <v/>
      </c>
      <c r="D1017">
        <f>IF(A1017="","",969)</f>
        <v/>
      </c>
      <c r="E1017">
        <f>IF(OR(Stops!A969="",Stops!E969="",Stops!F969=""),"",ROUND((Stops!F969-Stops!E969)*1440,0))</f>
        <v/>
      </c>
    </row>
    <row r="1018">
      <c r="A1018">
        <f>IF(Stops!A970="","",Stops!A970)</f>
        <v/>
      </c>
      <c r="B1018">
        <f>IF(E1018="","",IF(E1018&lt;=0,"het einde ligt voor het begin",IF(E1018&lt;60,"venster korter dan een uur","")))</f>
        <v/>
      </c>
      <c r="D1018">
        <f>IF(A1018="","",970)</f>
        <v/>
      </c>
      <c r="E1018">
        <f>IF(OR(Stops!A970="",Stops!E970="",Stops!F970=""),"",ROUND((Stops!F970-Stops!E970)*1440,0))</f>
        <v/>
      </c>
    </row>
    <row r="1019">
      <c r="A1019">
        <f>IF(Stops!A971="","",Stops!A971)</f>
        <v/>
      </c>
      <c r="B1019">
        <f>IF(E1019="","",IF(E1019&lt;=0,"het einde ligt voor het begin",IF(E1019&lt;60,"venster korter dan een uur","")))</f>
        <v/>
      </c>
      <c r="D1019">
        <f>IF(A1019="","",971)</f>
        <v/>
      </c>
      <c r="E1019">
        <f>IF(OR(Stops!A971="",Stops!E971="",Stops!F971=""),"",ROUND((Stops!F971-Stops!E971)*1440,0))</f>
        <v/>
      </c>
    </row>
    <row r="1020">
      <c r="A1020">
        <f>IF(Stops!A972="","",Stops!A972)</f>
        <v/>
      </c>
      <c r="B1020">
        <f>IF(E1020="","",IF(E1020&lt;=0,"het einde ligt voor het begin",IF(E1020&lt;60,"venster korter dan een uur","")))</f>
        <v/>
      </c>
      <c r="D1020">
        <f>IF(A1020="","",972)</f>
        <v/>
      </c>
      <c r="E1020">
        <f>IF(OR(Stops!A972="",Stops!E972="",Stops!F972=""),"",ROUND((Stops!F972-Stops!E972)*1440,0))</f>
        <v/>
      </c>
    </row>
    <row r="1021">
      <c r="A1021">
        <f>IF(Stops!A973="","",Stops!A973)</f>
        <v/>
      </c>
      <c r="B1021">
        <f>IF(E1021="","",IF(E1021&lt;=0,"het einde ligt voor het begin",IF(E1021&lt;60,"venster korter dan een uur","")))</f>
        <v/>
      </c>
      <c r="D1021">
        <f>IF(A1021="","",973)</f>
        <v/>
      </c>
      <c r="E1021">
        <f>IF(OR(Stops!A973="",Stops!E973="",Stops!F973=""),"",ROUND((Stops!F973-Stops!E973)*1440,0))</f>
        <v/>
      </c>
    </row>
    <row r="1022">
      <c r="A1022">
        <f>IF(Stops!A974="","",Stops!A974)</f>
        <v/>
      </c>
      <c r="B1022">
        <f>IF(E1022="","",IF(E1022&lt;=0,"het einde ligt voor het begin",IF(E1022&lt;60,"venster korter dan een uur","")))</f>
        <v/>
      </c>
      <c r="D1022">
        <f>IF(A1022="","",974)</f>
        <v/>
      </c>
      <c r="E1022">
        <f>IF(OR(Stops!A974="",Stops!E974="",Stops!F974=""),"",ROUND((Stops!F974-Stops!E974)*1440,0))</f>
        <v/>
      </c>
    </row>
    <row r="1023">
      <c r="A1023">
        <f>IF(Stops!A975="","",Stops!A975)</f>
        <v/>
      </c>
      <c r="B1023">
        <f>IF(E1023="","",IF(E1023&lt;=0,"het einde ligt voor het begin",IF(E1023&lt;60,"venster korter dan een uur","")))</f>
        <v/>
      </c>
      <c r="D1023">
        <f>IF(A1023="","",975)</f>
        <v/>
      </c>
      <c r="E1023">
        <f>IF(OR(Stops!A975="",Stops!E975="",Stops!F975=""),"",ROUND((Stops!F975-Stops!E975)*1440,0))</f>
        <v/>
      </c>
    </row>
    <row r="1024">
      <c r="A1024">
        <f>IF(Stops!A976="","",Stops!A976)</f>
        <v/>
      </c>
      <c r="B1024">
        <f>IF(E1024="","",IF(E1024&lt;=0,"het einde ligt voor het begin",IF(E1024&lt;60,"venster korter dan een uur","")))</f>
        <v/>
      </c>
      <c r="D1024">
        <f>IF(A1024="","",976)</f>
        <v/>
      </c>
      <c r="E1024">
        <f>IF(OR(Stops!A976="",Stops!E976="",Stops!F976=""),"",ROUND((Stops!F976-Stops!E976)*1440,0))</f>
        <v/>
      </c>
    </row>
    <row r="1025">
      <c r="A1025">
        <f>IF(Stops!A977="","",Stops!A977)</f>
        <v/>
      </c>
      <c r="B1025">
        <f>IF(E1025="","",IF(E1025&lt;=0,"het einde ligt voor het begin",IF(E1025&lt;60,"venster korter dan een uur","")))</f>
        <v/>
      </c>
      <c r="D1025">
        <f>IF(A1025="","",977)</f>
        <v/>
      </c>
      <c r="E1025">
        <f>IF(OR(Stops!A977="",Stops!E977="",Stops!F977=""),"",ROUND((Stops!F977-Stops!E977)*1440,0))</f>
        <v/>
      </c>
    </row>
    <row r="1026">
      <c r="A1026">
        <f>IF(Stops!A978="","",Stops!A978)</f>
        <v/>
      </c>
      <c r="B1026">
        <f>IF(E1026="","",IF(E1026&lt;=0,"het einde ligt voor het begin",IF(E1026&lt;60,"venster korter dan een uur","")))</f>
        <v/>
      </c>
      <c r="D1026">
        <f>IF(A1026="","",978)</f>
        <v/>
      </c>
      <c r="E1026">
        <f>IF(OR(Stops!A978="",Stops!E978="",Stops!F978=""),"",ROUND((Stops!F978-Stops!E978)*1440,0))</f>
        <v/>
      </c>
    </row>
    <row r="1027">
      <c r="A1027">
        <f>IF(Stops!A979="","",Stops!A979)</f>
        <v/>
      </c>
      <c r="B1027">
        <f>IF(E1027="","",IF(E1027&lt;=0,"het einde ligt voor het begin",IF(E1027&lt;60,"venster korter dan een uur","")))</f>
        <v/>
      </c>
      <c r="D1027">
        <f>IF(A1027="","",979)</f>
        <v/>
      </c>
      <c r="E1027">
        <f>IF(OR(Stops!A979="",Stops!E979="",Stops!F979=""),"",ROUND((Stops!F979-Stops!E979)*1440,0))</f>
        <v/>
      </c>
    </row>
    <row r="1028">
      <c r="A1028">
        <f>IF(Stops!A980="","",Stops!A980)</f>
        <v/>
      </c>
      <c r="B1028">
        <f>IF(E1028="","",IF(E1028&lt;=0,"het einde ligt voor het begin",IF(E1028&lt;60,"venster korter dan een uur","")))</f>
        <v/>
      </c>
      <c r="D1028">
        <f>IF(A1028="","",980)</f>
        <v/>
      </c>
      <c r="E1028">
        <f>IF(OR(Stops!A980="",Stops!E980="",Stops!F980=""),"",ROUND((Stops!F980-Stops!E980)*1440,0))</f>
        <v/>
      </c>
    </row>
    <row r="1029">
      <c r="A1029">
        <f>IF(Stops!A981="","",Stops!A981)</f>
        <v/>
      </c>
      <c r="B1029">
        <f>IF(E1029="","",IF(E1029&lt;=0,"het einde ligt voor het begin",IF(E1029&lt;60,"venster korter dan een uur","")))</f>
        <v/>
      </c>
      <c r="D1029">
        <f>IF(A1029="","",981)</f>
        <v/>
      </c>
      <c r="E1029">
        <f>IF(OR(Stops!A981="",Stops!E981="",Stops!F981=""),"",ROUND((Stops!F981-Stops!E981)*1440,0))</f>
        <v/>
      </c>
    </row>
    <row r="1030">
      <c r="A1030">
        <f>IF(Stops!A982="","",Stops!A982)</f>
        <v/>
      </c>
      <c r="B1030">
        <f>IF(E1030="","",IF(E1030&lt;=0,"het einde ligt voor het begin",IF(E1030&lt;60,"venster korter dan een uur","")))</f>
        <v/>
      </c>
      <c r="D1030">
        <f>IF(A1030="","",982)</f>
        <v/>
      </c>
      <c r="E1030">
        <f>IF(OR(Stops!A982="",Stops!E982="",Stops!F982=""),"",ROUND((Stops!F982-Stops!E982)*1440,0))</f>
        <v/>
      </c>
    </row>
    <row r="1031">
      <c r="A1031">
        <f>IF(Stops!A983="","",Stops!A983)</f>
        <v/>
      </c>
      <c r="B1031">
        <f>IF(E1031="","",IF(E1031&lt;=0,"het einde ligt voor het begin",IF(E1031&lt;60,"venster korter dan een uur","")))</f>
        <v/>
      </c>
      <c r="D1031">
        <f>IF(A1031="","",983)</f>
        <v/>
      </c>
      <c r="E1031">
        <f>IF(OR(Stops!A983="",Stops!E983="",Stops!F983=""),"",ROUND((Stops!F983-Stops!E983)*1440,0))</f>
        <v/>
      </c>
    </row>
    <row r="1032">
      <c r="A1032">
        <f>IF(Stops!A984="","",Stops!A984)</f>
        <v/>
      </c>
      <c r="B1032">
        <f>IF(E1032="","",IF(E1032&lt;=0,"het einde ligt voor het begin",IF(E1032&lt;60,"venster korter dan een uur","")))</f>
        <v/>
      </c>
      <c r="D1032">
        <f>IF(A1032="","",984)</f>
        <v/>
      </c>
      <c r="E1032">
        <f>IF(OR(Stops!A984="",Stops!E984="",Stops!F984=""),"",ROUND((Stops!F984-Stops!E984)*1440,0))</f>
        <v/>
      </c>
    </row>
    <row r="1033">
      <c r="A1033">
        <f>IF(Stops!A985="","",Stops!A985)</f>
        <v/>
      </c>
      <c r="B1033">
        <f>IF(E1033="","",IF(E1033&lt;=0,"het einde ligt voor het begin",IF(E1033&lt;60,"venster korter dan een uur","")))</f>
        <v/>
      </c>
      <c r="D1033">
        <f>IF(A1033="","",985)</f>
        <v/>
      </c>
      <c r="E1033">
        <f>IF(OR(Stops!A985="",Stops!E985="",Stops!F985=""),"",ROUND((Stops!F985-Stops!E985)*1440,0))</f>
        <v/>
      </c>
    </row>
    <row r="1034">
      <c r="A1034">
        <f>IF(Stops!A986="","",Stops!A986)</f>
        <v/>
      </c>
      <c r="B1034">
        <f>IF(E1034="","",IF(E1034&lt;=0,"het einde ligt voor het begin",IF(E1034&lt;60,"venster korter dan een uur","")))</f>
        <v/>
      </c>
      <c r="D1034">
        <f>IF(A1034="","",986)</f>
        <v/>
      </c>
      <c r="E1034">
        <f>IF(OR(Stops!A986="",Stops!E986="",Stops!F986=""),"",ROUND((Stops!F986-Stops!E986)*1440,0))</f>
        <v/>
      </c>
    </row>
    <row r="1035">
      <c r="A1035">
        <f>IF(Stops!A987="","",Stops!A987)</f>
        <v/>
      </c>
      <c r="B1035">
        <f>IF(E1035="","",IF(E1035&lt;=0,"het einde ligt voor het begin",IF(E1035&lt;60,"venster korter dan een uur","")))</f>
        <v/>
      </c>
      <c r="D1035">
        <f>IF(A1035="","",987)</f>
        <v/>
      </c>
      <c r="E1035">
        <f>IF(OR(Stops!A987="",Stops!E987="",Stops!F987=""),"",ROUND((Stops!F987-Stops!E987)*1440,0))</f>
        <v/>
      </c>
    </row>
    <row r="1036">
      <c r="A1036">
        <f>IF(Stops!A988="","",Stops!A988)</f>
        <v/>
      </c>
      <c r="B1036">
        <f>IF(E1036="","",IF(E1036&lt;=0,"het einde ligt voor het begin",IF(E1036&lt;60,"venster korter dan een uur","")))</f>
        <v/>
      </c>
      <c r="D1036">
        <f>IF(A1036="","",988)</f>
        <v/>
      </c>
      <c r="E1036">
        <f>IF(OR(Stops!A988="",Stops!E988="",Stops!F988=""),"",ROUND((Stops!F988-Stops!E988)*1440,0))</f>
        <v/>
      </c>
    </row>
    <row r="1037">
      <c r="A1037">
        <f>IF(Stops!A989="","",Stops!A989)</f>
        <v/>
      </c>
      <c r="B1037">
        <f>IF(E1037="","",IF(E1037&lt;=0,"het einde ligt voor het begin",IF(E1037&lt;60,"venster korter dan een uur","")))</f>
        <v/>
      </c>
      <c r="D1037">
        <f>IF(A1037="","",989)</f>
        <v/>
      </c>
      <c r="E1037">
        <f>IF(OR(Stops!A989="",Stops!E989="",Stops!F989=""),"",ROUND((Stops!F989-Stops!E989)*1440,0))</f>
        <v/>
      </c>
    </row>
    <row r="1038">
      <c r="A1038">
        <f>IF(Stops!A990="","",Stops!A990)</f>
        <v/>
      </c>
      <c r="B1038">
        <f>IF(E1038="","",IF(E1038&lt;=0,"het einde ligt voor het begin",IF(E1038&lt;60,"venster korter dan een uur","")))</f>
        <v/>
      </c>
      <c r="D1038">
        <f>IF(A1038="","",990)</f>
        <v/>
      </c>
      <c r="E1038">
        <f>IF(OR(Stops!A990="",Stops!E990="",Stops!F990=""),"",ROUND((Stops!F990-Stops!E990)*1440,0))</f>
        <v/>
      </c>
    </row>
    <row r="1039">
      <c r="A1039">
        <f>IF(Stops!A991="","",Stops!A991)</f>
        <v/>
      </c>
      <c r="B1039">
        <f>IF(E1039="","",IF(E1039&lt;=0,"het einde ligt voor het begin",IF(E1039&lt;60,"venster korter dan een uur","")))</f>
        <v/>
      </c>
      <c r="D1039">
        <f>IF(A1039="","",991)</f>
        <v/>
      </c>
      <c r="E1039">
        <f>IF(OR(Stops!A991="",Stops!E991="",Stops!F991=""),"",ROUND((Stops!F991-Stops!E991)*1440,0))</f>
        <v/>
      </c>
    </row>
    <row r="1040">
      <c r="A1040">
        <f>IF(Stops!A992="","",Stops!A992)</f>
        <v/>
      </c>
      <c r="B1040">
        <f>IF(E1040="","",IF(E1040&lt;=0,"het einde ligt voor het begin",IF(E1040&lt;60,"venster korter dan een uur","")))</f>
        <v/>
      </c>
      <c r="D1040">
        <f>IF(A1040="","",992)</f>
        <v/>
      </c>
      <c r="E1040">
        <f>IF(OR(Stops!A992="",Stops!E992="",Stops!F992=""),"",ROUND((Stops!F992-Stops!E992)*1440,0))</f>
        <v/>
      </c>
    </row>
    <row r="1041">
      <c r="A1041">
        <f>IF(Stops!A993="","",Stops!A993)</f>
        <v/>
      </c>
      <c r="B1041">
        <f>IF(E1041="","",IF(E1041&lt;=0,"het einde ligt voor het begin",IF(E1041&lt;60,"venster korter dan een uur","")))</f>
        <v/>
      </c>
      <c r="D1041">
        <f>IF(A1041="","",993)</f>
        <v/>
      </c>
      <c r="E1041">
        <f>IF(OR(Stops!A993="",Stops!E993="",Stops!F993=""),"",ROUND((Stops!F993-Stops!E993)*1440,0))</f>
        <v/>
      </c>
    </row>
    <row r="1042">
      <c r="A1042">
        <f>IF(Stops!A994="","",Stops!A994)</f>
        <v/>
      </c>
      <c r="B1042">
        <f>IF(E1042="","",IF(E1042&lt;=0,"het einde ligt voor het begin",IF(E1042&lt;60,"venster korter dan een uur","")))</f>
        <v/>
      </c>
      <c r="D1042">
        <f>IF(A1042="","",994)</f>
        <v/>
      </c>
      <c r="E1042">
        <f>IF(OR(Stops!A994="",Stops!E994="",Stops!F994=""),"",ROUND((Stops!F994-Stops!E994)*1440,0))</f>
        <v/>
      </c>
    </row>
    <row r="1043">
      <c r="A1043">
        <f>IF(Stops!A995="","",Stops!A995)</f>
        <v/>
      </c>
      <c r="B1043">
        <f>IF(E1043="","",IF(E1043&lt;=0,"het einde ligt voor het begin",IF(E1043&lt;60,"venster korter dan een uur","")))</f>
        <v/>
      </c>
      <c r="D1043">
        <f>IF(A1043="","",995)</f>
        <v/>
      </c>
      <c r="E1043">
        <f>IF(OR(Stops!A995="",Stops!E995="",Stops!F995=""),"",ROUND((Stops!F995-Stops!E995)*1440,0))</f>
        <v/>
      </c>
    </row>
    <row r="1044">
      <c r="A1044">
        <f>IF(Stops!A996="","",Stops!A996)</f>
        <v/>
      </c>
      <c r="B1044">
        <f>IF(E1044="","",IF(E1044&lt;=0,"het einde ligt voor het begin",IF(E1044&lt;60,"venster korter dan een uur","")))</f>
        <v/>
      </c>
      <c r="D1044">
        <f>IF(A1044="","",996)</f>
        <v/>
      </c>
      <c r="E1044">
        <f>IF(OR(Stops!A996="",Stops!E996="",Stops!F996=""),"",ROUND((Stops!F996-Stops!E996)*1440,0))</f>
        <v/>
      </c>
    </row>
    <row r="1045">
      <c r="A1045">
        <f>IF(Stops!A997="","",Stops!A997)</f>
        <v/>
      </c>
      <c r="B1045">
        <f>IF(E1045="","",IF(E1045&lt;=0,"het einde ligt voor het begin",IF(E1045&lt;60,"venster korter dan een uur","")))</f>
        <v/>
      </c>
      <c r="D1045">
        <f>IF(A1045="","",997)</f>
        <v/>
      </c>
      <c r="E1045">
        <f>IF(OR(Stops!A997="",Stops!E997="",Stops!F997=""),"",ROUND((Stops!F997-Stops!E997)*1440,0))</f>
        <v/>
      </c>
    </row>
    <row r="1046">
      <c r="A1046">
        <f>IF(Stops!A998="","",Stops!A998)</f>
        <v/>
      </c>
      <c r="B1046">
        <f>IF(E1046="","",IF(E1046&lt;=0,"het einde ligt voor het begin",IF(E1046&lt;60,"venster korter dan een uur","")))</f>
        <v/>
      </c>
      <c r="D1046">
        <f>IF(A1046="","",998)</f>
        <v/>
      </c>
      <c r="E1046">
        <f>IF(OR(Stops!A998="",Stops!E998="",Stops!F998=""),"",ROUND((Stops!F998-Stops!E998)*1440,0))</f>
        <v/>
      </c>
    </row>
    <row r="1047">
      <c r="A1047">
        <f>IF(Stops!A999="","",Stops!A999)</f>
        <v/>
      </c>
      <c r="B1047">
        <f>IF(E1047="","",IF(E1047&lt;=0,"het einde ligt voor het begin",IF(E1047&lt;60,"venster korter dan een uur","")))</f>
        <v/>
      </c>
      <c r="D1047">
        <f>IF(A1047="","",999)</f>
        <v/>
      </c>
      <c r="E1047">
        <f>IF(OR(Stops!A999="",Stops!E999="",Stops!F999=""),"",ROUND((Stops!F999-Stops!E999)*1440,0))</f>
        <v/>
      </c>
    </row>
    <row r="1048">
      <c r="A1048">
        <f>IF(Stops!A1000="","",Stops!A1000)</f>
        <v/>
      </c>
      <c r="B1048">
        <f>IF(E1048="","",IF(E1048&lt;=0,"het einde ligt voor het begin",IF(E1048&lt;60,"venster korter dan een uur","")))</f>
        <v/>
      </c>
      <c r="D1048">
        <f>IF(A1048="","",1000)</f>
        <v/>
      </c>
      <c r="E1048">
        <f>IF(OR(Stops!A1000="",Stops!E1000="",Stops!F1000=""),"",ROUND((Stops!F1000-Stops!E1000)*1440,0))</f>
        <v/>
      </c>
    </row>
    <row r="1049">
      <c r="A1049">
        <f>IF(Stops!A1001="","",Stops!A1001)</f>
        <v/>
      </c>
      <c r="B1049">
        <f>IF(E1049="","",IF(E1049&lt;=0,"het einde ligt voor het begin",IF(E1049&lt;60,"venster korter dan een uur","")))</f>
        <v/>
      </c>
      <c r="D1049">
        <f>IF(A1049="","",1001)</f>
        <v/>
      </c>
      <c r="E1049">
        <f>IF(OR(Stops!A1001="",Stops!E1001="",Stops!F1001=""),"",ROUND((Stops!F1001-Stops!E1001)*1440,0))</f>
        <v/>
      </c>
    </row>
  </sheetData>
  <conditionalFormatting sqref="B9">
    <cfRule type="expression" priority="1" dxfId="0">
      <formula>LEFT($B$9,3)="nee"</formula>
    </cfRule>
  </conditionalFormatting>
  <conditionalFormatting sqref="B11">
    <cfRule type="expression" priority="2" dxfId="1">
      <formula>$B$11&gt;0</formula>
    </cfRule>
  </conditionalFormatting>
  <conditionalFormatting sqref="A17:B46">
    <cfRule type="expression" priority="3" dxfId="0">
      <formula>LEFT($B17,6)="te vol"</formula>
    </cfRule>
  </conditionalFormatting>
  <conditionalFormatting sqref="A50:B1049">
    <cfRule type="expression" priority="4" dxfId="1">
      <formula>LEFT($B50,7)="venster"</formula>
    </cfRule>
    <cfRule type="expression" priority="5" dxfId="0">
      <formula>LEFT($B50,3)="het"</formula>
    </cfRule>
  </conditionalFormatting>
  <dataValidations count="1">
    <dataValidation sqref="B3" showDropDown="0" showInputMessage="0" showErrorMessage="1" allowBlank="1" errorTitle="Onbekende eenheid" error="Kies pallets of rolcontainers." type="list">
      <formula1>"pallets,rolcontainers"</formula1>
    </dataValidation>
  </dataValidations>
  <pageMargins left="0.75" right="0.75" top="1" bottom="1" header="0.5" footer="0.5"/>
  <pageSetup orientation="landscape" paperSize="9"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A28"/>
  <sheetViews>
    <sheetView workbookViewId="0">
      <pane ySplit="1" topLeftCell="A2" activePane="bottomLeft" state="frozen"/>
      <selection pane="bottomLeft" activeCell="A1" sqref="A1"/>
    </sheetView>
  </sheetViews>
  <sheetFormatPr baseColWidth="8" defaultRowHeight="15"/>
  <cols>
    <col width="110" customWidth="1" min="1" max="1"/>
  </cols>
  <sheetData>
    <row r="1">
      <c r="A1" s="21" t="inlineStr">
        <is>
          <t>Ritplanning-sjabloon: één bezorgdag in vier bladen</t>
        </is>
      </c>
    </row>
    <row r="2">
      <c r="A2" s="22" t="inlineStr">
        <is>
          <t>Dit bestand is van jou. Vul het in, pas het aan en deel het gerust met collega's.</t>
        </is>
      </c>
    </row>
    <row r="3">
      <c r="A3" s="22" t="inlineStr"/>
    </row>
    <row r="4">
      <c r="A4" s="23" t="inlineStr">
        <is>
          <t>Zo gebruik je het</t>
        </is>
      </c>
    </row>
    <row r="5">
      <c r="A5" s="22" t="inlineStr">
        <is>
          <t>1. Blad Stops: één regel per adres. De grijze regels zijn verzonnen voorbeelden: haal ze weg of typ eroverheen.</t>
        </is>
      </c>
    </row>
    <row r="6">
      <c r="A6" s="22" t="inlineStr">
        <is>
          <t>2. Blad Wagens: één regel per wagen, met de capaciteit in dezelfde eenheid als het aantal bij de stops (pallets of rolcontainers) en het adres waar de wagen vertrekt.</t>
        </is>
      </c>
    </row>
    <row r="7">
      <c r="A7" s="22" t="inlineStr">
        <is>
          <t>3. Blad Dagoverzicht: kies de eenheid. De rest rekent zelf: aantal stops, totaal aantal tegenover de capaciteit, en welke vensters korter zijn dan een uur.</t>
        </is>
      </c>
    </row>
    <row r="8">
      <c r="A8" s="22" t="inlineStr">
        <is>
          <t>4. Wil je de dag met de hand indelen? Vul op het blad Stops de kolommen Wagen en Volgorde in. Het Dagoverzicht telt dan per wagen op en waarschuwt als een wagen te vol is.</t>
        </is>
      </c>
    </row>
    <row r="9">
      <c r="A9" s="22" t="inlineStr"/>
    </row>
    <row r="10">
      <c r="A10" s="23" t="inlineStr">
        <is>
          <t>Wat de kleuren betekenen</t>
        </is>
      </c>
    </row>
    <row r="11">
      <c r="A11" s="22" t="inlineStr">
        <is>
          <t>Geel bij een venster: het venster is korter dan een uur. Zulke stops bepalen vaak de hele rit.</t>
        </is>
      </c>
    </row>
    <row r="12">
      <c r="A12" s="22" t="inlineStr">
        <is>
          <t>Rood bij een venster: het einde ligt voor het begin. Kijk de tijden na.</t>
        </is>
      </c>
    </row>
    <row r="13">
      <c r="A13" s="22" t="inlineStr">
        <is>
          <t>Rood bij een wagen in het Dagoverzicht: er staat meer op de wagen dan erin past.</t>
        </is>
      </c>
    </row>
    <row r="14">
      <c r="A14" s="22" t="inlineStr"/>
    </row>
    <row r="15">
      <c r="A15" s="23" t="inlineStr">
        <is>
          <t>Wat het bestand niet doet</t>
        </is>
      </c>
    </row>
    <row r="16">
      <c r="A16" s="22" t="inlineStr">
        <is>
          <t>Het kent geen afstanden en geen rijtijden. Het bedenkt dus geen volgorde en weet niet of een wagen op tijd bij een venster is. Dat blijft werk voor de planner.</t>
        </is>
      </c>
    </row>
    <row r="17">
      <c r="A17" s="22" t="inlineStr"/>
    </row>
    <row r="18">
      <c r="A18" s="23" t="inlineStr">
        <is>
          <t>Dezelfde dag door ons laten plannen</t>
        </is>
      </c>
    </row>
    <row r="19">
      <c r="A19" s="22" t="inlineStr">
        <is>
          <t>Dit bestand is ook het invoerformaat van onze quickscan. Vul één gewone dag in, met de kolommen Wagen en Volgorde zoals de dag echt gereden is, en stuur het bestand op.</t>
        </is>
      </c>
    </row>
    <row r="20">
      <c r="A20" s="22" t="inlineStr">
        <is>
          <t>Wij plannen dezelfde dag met jouw wagens en regels en leggen de uitkomst naast wat er gereden is: kilometers, ritten en heffing.</t>
        </is>
      </c>
    </row>
    <row r="21">
      <c r="A21" s="24" t="inlineStr">
        <is>
          <t>Stuur dit bestand naar de quickscan</t>
        </is>
      </c>
    </row>
    <row r="22">
      <c r="A22" s="22" t="inlineStr"/>
    </row>
    <row r="23">
      <c r="A23" s="23" t="inlineStr">
        <is>
          <t>Meer lezen</t>
        </is>
      </c>
    </row>
    <row r="24">
      <c r="A24" s="24" t="inlineStr">
        <is>
          <t>Rittenplanning maken: waar een planner op let</t>
        </is>
      </c>
    </row>
    <row r="25">
      <c r="A25" s="24" t="inlineStr">
        <is>
          <t>Wat kost een kilometer met jouw wagen?</t>
        </is>
      </c>
    </row>
    <row r="26">
      <c r="A26" s="24" t="inlineStr">
        <is>
          <t>De nieuwste versie van dit sjabloon</t>
        </is>
      </c>
    </row>
    <row r="27">
      <c r="A27" s="22" t="inlineStr"/>
    </row>
    <row r="28">
      <c r="A28" s="22" t="inlineStr">
        <is>
          <t>DataFirst Logistics, www.datafirstlogistics.com</t>
        </is>
      </c>
    </row>
  </sheetData>
  <hyperlinks>
    <hyperlink xmlns:r="http://schemas.openxmlformats.org/officeDocument/2006/relationships" ref="A21"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DataFirst Logistics</dc:creator>
  <dc:title xmlns:dc="http://purl.org/dc/elements/1.1/">Ritplanning-sjabloon</dc:title>
  <dc:description xmlns:dc="http://purl.org/dc/elements/1.1/">Sjabloon voor de planning van één bezorgdag: stops, wagens en een dagoverzicht.</dc:description>
  <dcterms:created xmlns:dcterms="http://purl.org/dc/terms/" xmlns:xsi="http://www.w3.org/2001/XMLSchema-instance" xsi:type="dcterms:W3CDTF">2026-10-03T08:29:32Z</dcterms:created>
  <dcterms:modified xmlns:dcterms="http://purl.org/dc/terms/" xmlns:xsi="http://www.w3.org/2001/XMLSchema-instance" xsi:type="dcterms:W3CDTF">2026-10-03T08:29:32Z</dcterms:modified>
</cp:coreProperties>
</file>